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ämäTyökirja"/>
  <mc:AlternateContent xmlns:mc="http://schemas.openxmlformats.org/markup-compatibility/2006">
    <mc:Choice Requires="x15">
      <x15ac:absPath xmlns:x15ac="http://schemas.microsoft.com/office/spreadsheetml/2010/11/ac" url="K:\Dokumentinhallinta\ID2\825FB8C5-CD22-4D55-BAF7-5B901EE8084B\0\584000-584999\584042\L\L\"/>
    </mc:Choice>
  </mc:AlternateContent>
  <xr:revisionPtr revIDLastSave="0" documentId="13_ncr:1_{000E4399-43EF-462E-AA7A-809058BF83EC}" xr6:coauthVersionLast="47" xr6:coauthVersionMax="47" xr10:uidLastSave="{00000000-0000-0000-0000-000000000000}"/>
  <workbookProtection lockStructure="1"/>
  <bookViews>
    <workbookView xWindow="-120" yWindow="-120" windowWidth="29040" windowHeight="15720" activeTab="1" xr2:uid="{00000000-000D-0000-FFFF-FFFF00000000}"/>
  </bookViews>
  <sheets>
    <sheet name="Ohjeet" sheetId="19" r:id="rId1"/>
    <sheet name="Haittarahalaskuri" sheetId="16" r:id="rId2"/>
    <sheet name="Pääomakertoimet" sheetId="14" state="hidden" r:id="rId3"/>
    <sheet name="HL_määrät" sheetId="15" state="hidden" r:id="rId4"/>
    <sheet name="Indeksit" sheetId="18" state="hidden" r:id="rId5"/>
    <sheet name="Selitetekstit &amp; laskenta-apu" sheetId="17"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16" l="1"/>
  <c r="D25" i="17"/>
  <c r="C25" i="17" s="1"/>
  <c r="B25" i="17" a="1"/>
  <c r="B25" i="17" l="1"/>
  <c r="A4" i="17" l="1"/>
  <c r="A5" i="17"/>
  <c r="A21" i="16"/>
  <c r="A11" i="16" l="1"/>
  <c r="A13" i="16"/>
  <c r="B20" i="17"/>
  <c r="B16" i="17"/>
  <c r="B15" i="17"/>
  <c r="C15" i="17"/>
  <c r="C16" i="17"/>
  <c r="B20" i="16"/>
  <c r="B19" i="16"/>
  <c r="B21" i="17" l="1"/>
  <c r="B22" i="17" s="1"/>
  <c r="B23" i="17" l="1"/>
  <c r="B24" i="17"/>
  <c r="A20" i="16"/>
  <c r="A14" i="16" l="1"/>
  <c r="A15" i="16"/>
  <c r="B21" i="16" l="1"/>
  <c r="B34" i="17" l="1"/>
  <c r="C34" i="17" s="1"/>
  <c r="I30" i="17"/>
  <c r="K30" i="17" s="1"/>
  <c r="H30" i="17"/>
  <c r="J30" i="17" s="1"/>
  <c r="B30" i="17"/>
  <c r="B29" i="17"/>
  <c r="C29" i="17" s="1"/>
  <c r="B28" i="17"/>
  <c r="B33" i="17"/>
  <c r="C33" i="17" s="1"/>
  <c r="I32" i="17"/>
  <c r="H32" i="17"/>
  <c r="B32" i="17"/>
  <c r="C32" i="17" s="1"/>
  <c r="B31" i="17"/>
  <c r="A32" i="16"/>
  <c r="A22" i="16"/>
  <c r="A24" i="16" s="1"/>
  <c r="A23" i="16"/>
  <c r="D28" i="17" l="1"/>
  <c r="C28" i="17"/>
  <c r="D30" i="17"/>
  <c r="E30" i="17" s="1"/>
  <c r="C30" i="17"/>
  <c r="D31" i="17"/>
  <c r="E31" i="17" s="1"/>
  <c r="C31" i="17"/>
  <c r="M30" i="17"/>
  <c r="D29" i="17"/>
  <c r="E29" i="17" s="1"/>
  <c r="D32" i="17"/>
  <c r="E32" i="17" s="1"/>
  <c r="D33" i="17"/>
  <c r="E33" i="17" s="1"/>
  <c r="D34" i="17"/>
  <c r="E34" i="17" s="1"/>
  <c r="B26" i="16" l="1"/>
  <c r="E28" i="17"/>
  <c r="B28" i="16" s="1"/>
  <c r="C26" i="16"/>
  <c r="L30" i="17"/>
  <c r="B22" i="16"/>
  <c r="F30" i="17"/>
  <c r="G30" i="17" s="1"/>
  <c r="F28" i="17"/>
  <c r="B23" i="16"/>
  <c r="F31" i="17"/>
  <c r="G31" i="17" s="1"/>
  <c r="B27" i="16" l="1"/>
  <c r="A33" i="16" s="1"/>
  <c r="G28" i="17"/>
  <c r="B29" i="16" s="1"/>
  <c r="C27" i="16" l="1"/>
  <c r="B30"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<sst xmlns="http://schemas.openxmlformats.org/spreadsheetml/2006/main" count="151" uniqueCount="102">
  <si>
    <t>Vahingoittuneen ikä sattumisvuonna</t>
  </si>
  <si>
    <t>Vahingoittuneen sukupuoli (M / N)</t>
  </si>
  <si>
    <t>Haittaluokka</t>
  </si>
  <si>
    <t>Uusi haittaluokka</t>
  </si>
  <si>
    <t>Haittarahalaskuri</t>
  </si>
  <si>
    <t>Työtapaturman tai ammattitaudin aiheuttamasta pysyvästä yleisestä haitasta maksetaan haittarahaa. Yleisellä haitalla tarkoitetaan tapaturman tai ammattitaudin aiheuttamaa toimintakyvyn alentumista eli toiminnanvajausta.</t>
  </si>
  <si>
    <t xml:space="preserve">Haittaraha maksetaan </t>
  </si>
  <si>
    <t>KORKO</t>
  </si>
  <si>
    <t>HAITTARAHAN PERUSMÄÄRÄ</t>
  </si>
  <si>
    <t>SATTUMISVUOSI</t>
  </si>
  <si>
    <t>IKÄ / PÄÄOMAKERROIN</t>
  </si>
  <si>
    <t>IKÄ / PÄÄOMAKERROIN (M)</t>
  </si>
  <si>
    <t>TapVakL 18 d §</t>
  </si>
  <si>
    <t>TyTAL 86 §</t>
  </si>
  <si>
    <t>Kertakaikkinen haittaraha lasketaan haittarahan pääoma-arvoa vastaavaksi pääomaksi huomioon ottaen vahingoittuneen tilastollisin perustein arvioitu keskimääräinen jäljellä oleva elinikä vahinkotapahtuman sattuessa. Pääoma-arvon laskentaperusteena käytetään julkisten tilastojen perusteella tehtyä arviota kuhunkin ikä- ja syntymävuosiluokkaan kuuluvien henkilöiden odotettavissa olevasta jäljellä olevasta eliniästä. Korkokantana pääoma-arvojen laskennassa käytetään arviota tulevasta pidemmän aikavälin riskittömästä korosta. Sosiaali- ja terveysministeriön asetuksella annetaan enintään kolmeksi kalenterivuodeksi kerrallaan tarkemmat säännökset kertakaikkisen haittarahan pääoma-arvon määräämisestä. (TyTAL 87 §)</t>
  </si>
  <si>
    <t>Määrä prosentteina (%) perusmäärästä</t>
  </si>
  <si>
    <t>Haittarahan suuruus vuodessa määräytyy vamman ja sairauden haittaluokan perusteella perusmäärästä alla olevan taulukon mukaan</t>
  </si>
  <si>
    <t>Alkuperäinen haittaluokka</t>
  </si>
  <si>
    <t>Indeksit</t>
  </si>
  <si>
    <t>k</t>
  </si>
  <si>
    <t>e</t>
  </si>
  <si>
    <t>Tulostiedot</t>
  </si>
  <si>
    <t>Rahoituksellinen erittely (vakuutuslaitosta varten)</t>
  </si>
  <si>
    <t>Kertakorvaus</t>
  </si>
  <si>
    <t>Jatkuva</t>
  </si>
  <si>
    <t>Laskenta-apu</t>
  </si>
  <si>
    <t>indeksikorotus</t>
  </si>
  <si>
    <t>Aputaulukko - Haittarahalaskurin selitteitä</t>
  </si>
  <si>
    <t>Kertakorvauksena</t>
  </si>
  <si>
    <t>Jatkuvana korvauksena</t>
  </si>
  <si>
    <t>Haittarahakorvaukset yhteensä</t>
  </si>
  <si>
    <t>Työeläkeindeksi, voidaan soveltaa suoraan 2004 lähtien indeksikorotusten laskennassa</t>
  </si>
  <si>
    <t>Jatkuvan korvauksen vuotuismäärä (sis. indeksikorotuksen)</t>
  </si>
  <si>
    <t>Haittarahan kertakorvauksen määrä (sis. indeksikorotuksen)</t>
  </si>
  <si>
    <t>perusmäärä</t>
  </si>
  <si>
    <t>lisäkorvaus</t>
  </si>
  <si>
    <t>perusmäärä (M/N)</t>
  </si>
  <si>
    <t>indeksikorotus perusmäärälle</t>
  </si>
  <si>
    <t>indeksikorotus lisäkorvaukselle</t>
  </si>
  <si>
    <t>-</t>
  </si>
  <si>
    <t>Onko kyse haittaluokan muutoksesta? (K / E)</t>
  </si>
  <si>
    <t>Haittarahan maksuvuosi</t>
  </si>
  <si>
    <t>Jatkuvan korvauksen vuotuismäärän muutos</t>
  </si>
  <si>
    <t xml:space="preserve">Haittaluokan muutos maksetaan </t>
  </si>
  <si>
    <t>Haittaluokan muutos jatkuvana (uusi määrä)</t>
  </si>
  <si>
    <t>Haittaluokan muutos jatkuvana (muutoksen osuus)</t>
  </si>
  <si>
    <t>Haittaluokan aleneminen kertakorvauksena (aiemmin maksettu jatkuvana)</t>
  </si>
  <si>
    <t>Vahinkotapahtuman sattumis-/ilmenemispäivä (pp.kk.vvvv)</t>
  </si>
  <si>
    <t>Haittarahan maksupäivä (pp.kk.vvvv)</t>
  </si>
  <si>
    <t>Vahingoittuneen syntymäpäivä (pp.kk.vvvv)</t>
  </si>
  <si>
    <t>Haittaluokan muutospäivä (pp.kk.vvvv)</t>
  </si>
  <si>
    <t>Vahingoittuneen ikä haittaluokan muuttuessa</t>
  </si>
  <si>
    <t>Sattumis-/ilmenemisvuosi</t>
  </si>
  <si>
    <t>Haittaluokan muutosvuosi</t>
  </si>
  <si>
    <t>Haittaluokan muutos kertakorvauksena (aiemmin maksettu kertakorvaus)</t>
  </si>
  <si>
    <t>Haittarahan perusmäärä on TapVakL 28 § 6 mom mukainen vähimmäisvuosityöansio ennen vuotta 2016 sattuneille-/ilmeinneille vahinkotapahtumille (korotettu vuosittain palkkakeroimella) ja TyTAL 87 § mukainen perusmäärä 2016 ja sen jälkeen sattuneille-/ilmenneille vahinkotapahtumille (korotettu vuosittain työeläkeindeksillä).</t>
  </si>
  <si>
    <t>Haittaluokan korotus jatkuvana (aiemmin maksettu kertakorvaus)</t>
  </si>
  <si>
    <t>Perusmäärä ilman lisäkorvausta</t>
  </si>
  <si>
    <t>Tuorein indeksikorotuksen laskentavuosi</t>
  </si>
  <si>
    <t>Anna vahinkotapahtuman tiedot haittarahan suuruuden laskemiseksi</t>
  </si>
  <si>
    <t>Lisäkorvaus perusmäärään (TapVakL 18 f §) **</t>
  </si>
  <si>
    <t>Indeksikorotus ilman lisäkorvausta **</t>
  </si>
  <si>
    <t>Indeksikorotus lisäkorvaukselle **</t>
  </si>
  <si>
    <t>** Rahoitetaan jakojärjestelmästä</t>
  </si>
  <si>
    <t>* Sosiaali- ja terveysministeriö vahvistaa vuosittain syksyllä työeläkeindeksin tulevaa vuotta koskien. Mikäli annettu maksupäivä on myöhemmin kuin viimeisin laskuriin päivitetty työeläkeindeksi, lopullista indeksikorotuksen määrää ei voi laskea vaan se lasketaan tuoreimman käytössä olevan indeksin tasoon.</t>
  </si>
  <si>
    <t>Mikäli käytät laskuria usean eri tapauksen laskennassa, tyhjennä kaikki edellisen tapauksen tiedot ennen uuden tapauksen syöttämistä valitsemalla tiedot ja painamalla delete.</t>
  </si>
  <si>
    <t>Haittarahan määrä tulee näkyviin alla oleviin tuloskenttiin, kun tarvittavat lähtötiedot on annettu yläpuolella oleviin sinisiin vahinkotapahtuman tietokenttiin.</t>
  </si>
  <si>
    <t>perusmäärä uusi HL</t>
  </si>
  <si>
    <t>perusmäärä alkup HL</t>
  </si>
  <si>
    <t>lisäkorvaus uusi HL</t>
  </si>
  <si>
    <t>lisäkorvaus alkup HL</t>
  </si>
  <si>
    <t>perusmäärä (M/N) alkup HL</t>
  </si>
  <si>
    <t>perusmäärä (M/N) uusi HL</t>
  </si>
  <si>
    <t>*** Kertakorvauksen perusmäärä uuden ja alkuperäisen haittaluokan erotuksena</t>
  </si>
  <si>
    <t>**** Kertakorvauksen lisäkorvaus uuden ja alkuperäisen haittaluokan erotuksena</t>
  </si>
  <si>
    <t>*** Jatkuvan korvauksen perusmäärä uuden ja alkuperäisen haittaluokan erotuksena, kun alkuperäinen haitta on korvattu kertakorvauksena</t>
  </si>
  <si>
    <t>Tämä Tapaturmavakuutuskeskuksen laatima ja ylläpitämä haittarahalaskuri on tarkoitettu työtapaturman tai ammattitaudin aiheuttamasta pysyvästä yleisestä haitasta maksettavan haittarahan suuruuden laskemiseen.</t>
  </si>
  <si>
    <t>Ohjeet laskurin käyttöön</t>
  </si>
  <si>
    <r>
      <rPr>
        <b/>
        <sz val="12"/>
        <color theme="1"/>
        <rFont val="Segoe UI"/>
        <family val="2"/>
      </rPr>
      <t>Vahingoittuneen syntymäpäivä (pp.kk.vvvv)</t>
    </r>
    <r>
      <rPr>
        <sz val="12"/>
        <color theme="1"/>
        <rFont val="Segoe UI"/>
        <family val="2"/>
      </rPr>
      <t xml:space="preserve"> tarvitaan haittarahan kertakorvauksen suuruuden laskemiseen, sillä kertakorvauksen määrä riippuu vahingoittuneen iästä.</t>
    </r>
  </si>
  <si>
    <r>
      <rPr>
        <b/>
        <sz val="12"/>
        <color theme="1"/>
        <rFont val="Segoe UI"/>
        <family val="2"/>
      </rPr>
      <t>Onko kyse haittaluokan muutoksesta? (K / E)</t>
    </r>
    <r>
      <rPr>
        <sz val="12"/>
        <color theme="1"/>
        <rFont val="Segoe UI"/>
        <family val="2"/>
      </rPr>
      <t xml:space="preserve"> - Vastaa tähän K = kyllä, jos tapaturmalle tai ammattitaudille on vahvistettu haittaluokka jo aiemmin ja se vamman tai sairauden pahenemisen myötä nousee tai lieventymisen vuoksi laskee. Tällöin haittarahaa maksetaan muuttuneiden olosuhteiden mukaisesti. Jos vammalle tai sairaudelle on määritelty haittaluokka ensimmäisen kerran, kyse ei ole haittaluokan muutoksesta ja tähän vastataan E = ei.</t>
    </r>
  </si>
  <si>
    <r>
      <rPr>
        <b/>
        <sz val="12"/>
        <color theme="1"/>
        <rFont val="Segoe UI"/>
        <family val="2"/>
      </rPr>
      <t>Uusi haittaluokka</t>
    </r>
    <r>
      <rPr>
        <sz val="12"/>
        <color theme="1"/>
        <rFont val="Segoe UI"/>
        <family val="2"/>
      </rPr>
      <t>, kun kyseessä on haittaluokan muutos. Jos vamma tai sairaus alkuperäisen arvion jälkeen pysyvästi pahenee tai lieventyy, tälle voidaan määrittää uusi haittaluokka, jolloin haittarahaa maksetaan muuttuneiden olosuhteiden mukaisesti. Haittarahan määrässä huomioidaan tällöin mahdollinen aiemmin maksettu kertakorvaus.</t>
    </r>
  </si>
  <si>
    <r>
      <rPr>
        <b/>
        <sz val="12"/>
        <color theme="1"/>
        <rFont val="Segoe UI"/>
        <family val="2"/>
      </rPr>
      <t>Alkuperäinen haittaluokka</t>
    </r>
    <r>
      <rPr>
        <sz val="12"/>
        <color theme="1"/>
        <rFont val="Segoe UI"/>
        <family val="2"/>
      </rPr>
      <t>, kun kyseessä on haittaluokan muutos. Alkuperäinen haittaluokka on se haittaluokka, jonka perusteella haittaraha on aiemmin maksettu. Alkuperäinen haittaluokka voi olla myös nolla, jos alunperin vamman tai sairauden ei ole arvioitu aiheuttaneen pysyvää haittaa.</t>
    </r>
  </si>
  <si>
    <t>Anna vahinkotapahtuman tiedot haittarahan suuruuden laskemiseksi sinisiin vahinkotapahtuman tietokenttiin.</t>
  </si>
  <si>
    <r>
      <t xml:space="preserve">Samoin tulostiedoissa kerrotaan, korvataanko haittaraha </t>
    </r>
    <r>
      <rPr>
        <b/>
        <sz val="12"/>
        <color theme="1"/>
        <rFont val="Segoe UI"/>
        <family val="2"/>
      </rPr>
      <t>kertakorvauksena vai</t>
    </r>
    <r>
      <rPr>
        <sz val="12"/>
        <color theme="1"/>
        <rFont val="Segoe UI"/>
        <family val="2"/>
      </rPr>
      <t xml:space="preserve"> kuukausittain maksettavana </t>
    </r>
    <r>
      <rPr>
        <b/>
        <sz val="12"/>
        <color theme="1"/>
        <rFont val="Segoe UI"/>
        <family val="2"/>
      </rPr>
      <t>jatkuvana</t>
    </r>
    <r>
      <rPr>
        <sz val="12"/>
        <color theme="1"/>
        <rFont val="Segoe UI"/>
        <family val="2"/>
      </rPr>
      <t xml:space="preserve"> korvauksena.</t>
    </r>
  </si>
  <si>
    <t>Lisätietoina laskuri näyttää rahoituksellisen erittelyn, joka on tarkoitettu lähinnä vakuutuslaitosten käyttöä varten. Rahoituksellisessa erittelyssä korvattava haittarahan määrä on eritelty perusmäärään, mahdolliseen lisäkorvauksen osuuteen ja indeksikorotuksen osuuteen.</t>
  </si>
  <si>
    <r>
      <rPr>
        <b/>
        <sz val="12"/>
        <color theme="1"/>
        <rFont val="Segoe UI"/>
        <family val="2"/>
      </rPr>
      <t>Haittarahan maksupäivä (pp.kk.vvvv)</t>
    </r>
    <r>
      <rPr>
        <sz val="12"/>
        <color theme="1"/>
        <rFont val="Segoe UI"/>
        <family val="2"/>
      </rPr>
      <t xml:space="preserve"> on päivä, jolloin haittarahakorvaus on maksettu tai tullaan maksamaan. Mikäli tarkka päivä ei ole tiedossa, tähän voi täyttää arvioidun maksupäivän. Maksupäivä määrää, mihin asti haittarahan määrään sisältyvät indeksikorotukset lasketaan. Maksupäivä voi olla aikaisintaan vuoden kuluttua vahinkotapahtuman sattumis-/ilmenemispäivästä, jolloin aikaisintaan voidaan katsoa haitan olevan pysyvä ja määritellä haittaluokka haittarahalla korvattavalle pysyvälle haitalle.</t>
    </r>
  </si>
  <si>
    <r>
      <rPr>
        <b/>
        <sz val="12"/>
        <color theme="1"/>
        <rFont val="Segoe UI"/>
        <family val="2"/>
      </rPr>
      <t>Haittaluokan muutospäivä (pp.kk.vvvv)</t>
    </r>
    <r>
      <rPr>
        <sz val="12"/>
        <color theme="1"/>
        <rFont val="Segoe UI"/>
        <family val="2"/>
      </rPr>
      <t xml:space="preserve"> on päivä, jolloin haittaluokan on vahvistettu muuttuneen. Uusi haittarahan määrä lasketaan muutoshetkellä voimassa olleiden perusteiden mukaisesti. Haittaluokan muutospäivän tulee olla myöhemmin kuin sattumis/ilmenemispäivä. Muutospäivä ei voi olla myöhemmin kuin maksupäivä tai kuluva päivä.</t>
    </r>
  </si>
  <si>
    <r>
      <rPr>
        <b/>
        <sz val="12"/>
        <color theme="1"/>
        <rFont val="Segoe UI"/>
        <family val="2"/>
      </rPr>
      <t>Indeksikorotusten osuus</t>
    </r>
    <r>
      <rPr>
        <sz val="12"/>
        <color theme="1"/>
        <rFont val="Segoe UI"/>
        <family val="2"/>
      </rPr>
      <t xml:space="preserve"> lasketaan työeläkeindeksin perusteella vahinkotapahtuman sattumis-/ilmenemishetkestä maksupäivään. Mikäli annettu maksupäivä on myöhemmin kuin viimeisin laskuriin päivitetty työeläkeindeksi, lopullista indeksikorotuksen määrää ei voi laskea vaan se lasketaan tuoreimman käytössä olevan indeksin tasoon. Sosiaali- ja terveysministeriö vahvistaa työeläkeindeksin vuosittain syksyllä  tulevaa vuotta koskien. Indeksikorotukset näytetään erikseen perusmäärälle ja mahdolliselle lisäkorvaukselle.</t>
    </r>
  </si>
  <si>
    <r>
      <rPr>
        <b/>
        <sz val="12"/>
        <color theme="1"/>
        <rFont val="Segoe UI"/>
        <family val="2"/>
      </rPr>
      <t>Vahingoittuneen sukupuoli (M / N)</t>
    </r>
    <r>
      <rPr>
        <sz val="12"/>
        <color theme="1"/>
        <rFont val="Segoe UI"/>
        <family val="2"/>
      </rPr>
      <t xml:space="preserve"> tarvitaan ennen 1.1.2016 sattuneille ja ilmenneille vahinkotapahtumille. Kyseisten vahinkotapahtumien korvaukset maksetaan tapaturmavakuutuslain perusteella ja haittarahan kertakorvauksen laskuperusteissa sovelletaan miesten ja naisten erilaisia elinaikaodotteita.</t>
    </r>
  </si>
  <si>
    <r>
      <t xml:space="preserve">Lisäkorvaus ja indeksikorotukset rahoitetaan </t>
    </r>
    <r>
      <rPr>
        <b/>
        <sz val="12"/>
        <color theme="1"/>
        <rFont val="Segoe UI"/>
        <family val="2"/>
      </rPr>
      <t>jakojärjestelmästä</t>
    </r>
    <r>
      <rPr>
        <sz val="12"/>
        <color theme="1"/>
        <rFont val="Segoe UI"/>
        <family val="2"/>
      </rPr>
      <t>. Tapaturmavakuutuslaissa ja työtapaturma- ja ammattitautilaissa on määrätty osa korvauksista maksettavaksi jakojärjestelmästä (TapVakL 60 b §,TyTAL 231 §). Jakojärjestelmän korvauskulut katetaan vakuutusmaksuihin sisältyvällä jakojärjestelmämaksulla, jonka suuruus vahvistetaan vuosittain. Vakuutusyhtiöt vastaavat jakojärjestelmän kustannuksista vuosittain maksutulojensa suhteessa. Tapaturmavakuutuskeskus määrää vuosittaisen jakojärjestelmämaksun suuruuden, hallinnoi jakojärjestelmää ja hoitaa tasausmaksuliikennettä.</t>
    </r>
  </si>
  <si>
    <t>Syötettyäsi tarvittavat lähtötiedot laskuri antaa lähtötietojen perusteella lasketut tulokset keltaisiin soluihin.</t>
  </si>
  <si>
    <r>
      <t xml:space="preserve">Tulostietoina annetaan vahingoittuneen </t>
    </r>
    <r>
      <rPr>
        <b/>
        <sz val="12"/>
        <color theme="1"/>
        <rFont val="Segoe UI"/>
        <family val="2"/>
      </rPr>
      <t>ikä vahingon sattuessa/ilmetessä</t>
    </r>
    <r>
      <rPr>
        <sz val="12"/>
        <color theme="1"/>
        <rFont val="Segoe UI"/>
        <family val="2"/>
      </rPr>
      <t xml:space="preserve"> sekä </t>
    </r>
    <r>
      <rPr>
        <b/>
        <sz val="12"/>
        <color theme="1"/>
        <rFont val="Segoe UI"/>
        <family val="2"/>
      </rPr>
      <t>ikä mahdollisella haittaluokan muutoshetkellä</t>
    </r>
    <r>
      <rPr>
        <sz val="12"/>
        <color theme="1"/>
        <rFont val="Segoe UI"/>
        <family val="2"/>
      </rPr>
      <t>. Ikä on merkityksellinen tieto erityisesti haittarahan kertakorvauksen laskennassa, sillä kyseinen korvaus on tarkoitettu korvaamaan loppuelämäksi aiheutunutta haittaa.</t>
    </r>
  </si>
  <si>
    <r>
      <t xml:space="preserve">Lisäksi annettaan maksettavan </t>
    </r>
    <r>
      <rPr>
        <b/>
        <sz val="12"/>
        <color theme="1"/>
        <rFont val="Segoe UI"/>
        <family val="2"/>
      </rPr>
      <t>haittarahan määrä euroina</t>
    </r>
    <r>
      <rPr>
        <sz val="12"/>
        <color theme="1"/>
        <rFont val="Segoe UI"/>
        <family val="2"/>
      </rPr>
      <t xml:space="preserve">. Kertakorvaukselle se on kertakorvauksen kokonaismäärä sisältäen indeksikorotuksen maksupäivään asti. Jatkuvan korvauksen tapauksessa annetaan haittarahan vuotuismäärä sisältäen indeksikorotuksen maksupäivään asti. Koska jatkuvaa haittarahaa maksetaan kuukausittain, maksettava summa on kyseinen vuotuismäärä jaettuna kahdellatoista. Haittaluokan muutostapauksissa annetaan myös </t>
    </r>
    <r>
      <rPr>
        <b/>
        <sz val="12"/>
        <color theme="1"/>
        <rFont val="Segoe UI"/>
        <family val="2"/>
      </rPr>
      <t>jatkuvan korvauksen vuotuismäärän muutos</t>
    </r>
    <r>
      <rPr>
        <sz val="12"/>
        <color theme="1"/>
        <rFont val="Segoe UI"/>
        <family val="2"/>
      </rPr>
      <t xml:space="preserve"> verrattuna alkuperäisen haitan mukaiseen korvaukseen.</t>
    </r>
  </si>
  <si>
    <r>
      <rPr>
        <b/>
        <sz val="12"/>
        <color theme="1"/>
        <rFont val="Segoe UI"/>
        <family val="2"/>
      </rPr>
      <t>Lisäkorvaus</t>
    </r>
    <r>
      <rPr>
        <sz val="12"/>
        <color theme="1"/>
        <rFont val="Segoe UI"/>
        <family val="2"/>
      </rPr>
      <t xml:space="preserve"> on tapaturmavakuutuslain 18 f §:n mukainen miehelle haittarahan kertakorvaukseen maksettava lisäkorvaus, jonka suuruus on naisen ja miehen kertakorvauksen erotus, kun naisen ja miehen ikä, haittaluokka ja vahingon sattumisvuosi ovat samat. Pykälä on täydennetty lakiin vuonna 2015, ja sillä on muutettu aiemmin miehelle ja naiselle maksettavat erisuuruiset haittarahan kertakorvaukset samansuuruisiksi. Erisuuruiset haittarahat perustuivat miesten ja naisten eripituisiin mallinnettuihin odotettuihin elinaikoihin. Lisäkorvausta maksetaan ennen 1.1.2016 sattuneista vahinkotapahtumista ja se korvataan erillisenä nk. lisäkorvauksena, koska sen rahoitus saadaan eri lähteestä kuin haittarahan perusmäärä kyseisissä vahinkotapahtumissa. 1.1.2016 ja sen jälkeen sattuneissa vahinkotapahtumissa miehelle ja naiselle maksettavat haittarahan kertakorvaukset ovat lähtökohtaisesti samansuuruiset.</t>
    </r>
  </si>
  <si>
    <t>Haittarahan suuruus määräytyy haittaluokan ja laissa mainitun perusmäärän mukaisesti. Vahingoittuneen työntekijän ikä vaikuttaa korvauksen määrään. Päätöksen haittarahan määrästä antaa vakuutuslaitos, joka on korvannut työtapaturman tai ammattitaudin (toimivaltainen vakuutuslaitos).</t>
  </si>
  <si>
    <t>Varsinaisen päätöksen haittarahan määrästä antaa toimivaltainen vakuutuslaitos. Mahdollisissa kysymyksissä ole suoraan yhteydessä asiaasi käsittelevään vakuutuslaitokseen.</t>
  </si>
  <si>
    <t>Haittaraha maksetaan kertakorvauksena, jos haittaluokka on 1–5. Haittaluokissa 6-20 korvaus maksetaan kuukausittain jatkuvana korvauksena. Jos vahinko on sattunut ennen 1.1.2016 haittaraha maksetaan kertakorvauksena myös haittaluokissa 6-10. Nopeasti kuolemaan johtavissa ammattitaudeissa maksetaan haittaluokan 10 mukainen kertakorvaus.</t>
  </si>
  <si>
    <t>Haittaraha maksetaan aikaisintaan vuoden kuluttua vahinkotapahtuman sattumis-/ilmenemispäivästä, jolloin aikaisintaan voidaan katsoa haitan olevan pysyvä.</t>
  </si>
  <si>
    <r>
      <rPr>
        <b/>
        <sz val="12"/>
        <color theme="1"/>
        <rFont val="Segoe UI"/>
        <family val="2"/>
      </rPr>
      <t>Vahinkotapahtuman sattumis-/ilmenemispäivä (pp.kk.vvvv)</t>
    </r>
    <r>
      <rPr>
        <sz val="12"/>
        <color theme="1"/>
        <rFont val="Segoe UI"/>
        <family val="2"/>
      </rPr>
      <t xml:space="preserve"> on päivä, jolloin tapaturma on sattunut tai ammattitauti ilmennyt. Tapaturman sattumispäivä tai ammattitaudin ilmenemispäivä ilmenee vakuutuslaitoksen antamasta korvauspäätöksestä. Haittarahan määrä lasketaan sattumis-/ilmenemispäivänä voimassa olleiden perusteiden mukaisesti. Laskuri osaa laskea haittarahan suuruden 1.1.2004 ja sen jälkeen sattuneille/ilmenneille vahinkotapahtumille.</t>
    </r>
  </si>
  <si>
    <r>
      <rPr>
        <sz val="14"/>
        <color theme="1"/>
        <rFont val="Segoe UI"/>
        <family val="2"/>
      </rPr>
      <t>Tapaturmavakuutuskeskus</t>
    </r>
    <r>
      <rPr>
        <sz val="12"/>
        <color theme="1"/>
        <rFont val="Segoe UI"/>
        <family val="2"/>
      </rPr>
      <t xml:space="preserve"> - viimeksi päivitetty 7.11.2024</t>
    </r>
  </si>
  <si>
    <r>
      <rPr>
        <b/>
        <sz val="12"/>
        <color theme="1"/>
        <rFont val="Segoe UI"/>
        <family val="2"/>
      </rPr>
      <t>Perusmäärällä</t>
    </r>
    <r>
      <rPr>
        <sz val="12"/>
        <color theme="1"/>
        <rFont val="Segoe UI"/>
        <family val="2"/>
      </rPr>
      <t xml:space="preserve"> tarkoitetaan tässä laskelmassa haittarahan määrää ilman mahdollista nk. lisäkorvausta ja indeksikorotusten osuutta. Haittarahan suuruus vuodessa määräytyy työtapaturma- ja ammattitautilain 86 §:ssä määritellystä haittarahan perusmäärästä (1.1.2016 ja sen jälkeen sattuneet/ilmenneet vahinkotapahtumat, tarkistetaan vuosittain työeläkeindeksillä) tai tapaturmavakuutuslain 28 § 6 mom mukaisesta vähimmäisvuosityöansiosta (ennen 1.1.2016 sattuneet/ilmenneet vahinkotapahtumat, tarkistetaan vuosittain palkkakertoimella) niin ikään kyseisten lakien mukaisten vamman ja sairauden haittaluokan perusteella määriteltyjen haittaluokkakohtaisten kertoimien mukaan. Haittarahan kertakorvauksen ollessa kyseessä vuotuismäärät kerrotaan vielä sattumisvuoden kartakorvauksen laskuperusteiden mukaisilla ikäkertoimilla. Ikäkertoimet kuvaavat eri ikäisten henkilöiden mallinnettua jäljellä olevaa odotettua elinikää.</t>
    </r>
  </si>
  <si>
    <r>
      <rPr>
        <sz val="14"/>
        <color theme="1"/>
        <rFont val="Segoe UI"/>
        <family val="2"/>
      </rPr>
      <t>Tapaturmavakuutuskeskus</t>
    </r>
    <r>
      <rPr>
        <sz val="12"/>
        <color theme="1"/>
        <rFont val="Segoe UI"/>
        <family val="2"/>
      </rPr>
      <t xml:space="preserve"> - viimeksi päivitetty 8.1.2026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</si>
</sst>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numFmts>
  <fonts count="15" x14ac:knownFonts="1">
    <font>
      <sz val="11"/>
      <color theme="1"/>
      <name val="Calibri"/>
      <family val="2"/>
      <scheme val="minor"/>
    </font>
    <font>
      <sz val="10"/>
      <name val="Arial"/>
      <family val="2"/>
    </font>
    <font>
      <sz val="12"/>
      <color theme="1"/>
      <name val="Calibri"/>
      <family val="2"/>
      <scheme val="minor"/>
    </font>
    <font>
      <sz val="18"/>
      <color theme="1"/>
      <name val="Calibri"/>
      <family val="2"/>
      <scheme val="minor"/>
    </font>
    <font>
      <sz val="12"/>
      <color theme="2" tint="-0.499984740745262"/>
      <name val="Calibri"/>
      <family val="2"/>
      <scheme val="minor"/>
    </font>
    <font>
      <sz val="22"/>
      <color theme="1"/>
      <name val="Segoe UI"/>
      <family val="2"/>
    </font>
    <font>
      <sz val="11"/>
      <color theme="1"/>
      <name val="Segoe UI"/>
      <family val="2"/>
    </font>
    <font>
      <sz val="12"/>
      <color theme="1"/>
      <name val="Segoe UI"/>
      <family val="2"/>
    </font>
    <font>
      <sz val="18"/>
      <color theme="1"/>
      <name val="Segoe UI"/>
      <family val="2"/>
    </font>
    <font>
      <sz val="12"/>
      <color rgb="FFFF0000"/>
      <name val="Segoe UI"/>
      <family val="2"/>
    </font>
    <font>
      <sz val="12"/>
      <color theme="2" tint="-0.499984740745262"/>
      <name val="Segoe UI"/>
      <family val="2"/>
    </font>
    <font>
      <sz val="14"/>
      <color theme="1"/>
      <name val="Segoe UI"/>
      <family val="2"/>
    </font>
    <font>
      <sz val="12"/>
      <name val="Segoe UI"/>
      <family val="2"/>
    </font>
    <font>
      <sz val="14"/>
      <color theme="1"/>
      <name val="Calibri"/>
      <family val="2"/>
      <scheme val="minor"/>
    </font>
    <font>
      <b/>
      <sz val="12"/>
      <color theme="1"/>
      <name val="Segoe UI"/>
      <family val="2"/>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6" tint="0.399945066682943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57">
    <xf numFmtId="0" fontId="0" fillId="0" borderId="0" xfId="0"/>
    <xf numFmtId="3" fontId="0" fillId="0" borderId="0" xfId="0" applyNumberFormat="1"/>
    <xf numFmtId="10" fontId="0" fillId="0" borderId="0" xfId="0" applyNumberFormat="1"/>
    <xf numFmtId="0" fontId="0" fillId="4" borderId="0" xfId="0" applyFill="1"/>
    <xf numFmtId="1" fontId="0" fillId="0" borderId="0" xfId="0" applyNumberFormat="1" applyAlignment="1">
      <alignment horizontal="center"/>
    </xf>
    <xf numFmtId="0" fontId="0" fillId="0" borderId="0" xfId="0" applyAlignment="1">
      <alignment horizontal="center"/>
    </xf>
    <xf numFmtId="2" fontId="0" fillId="0" borderId="0" xfId="0" applyNumberFormat="1"/>
    <xf numFmtId="4" fontId="0" fillId="0" borderId="0" xfId="0" applyNumberFormat="1"/>
    <xf numFmtId="0" fontId="0" fillId="0" borderId="0" xfId="0" applyAlignment="1">
      <alignment wrapText="1"/>
    </xf>
    <xf numFmtId="164" fontId="0" fillId="0" borderId="0" xfId="0" applyNumberFormat="1"/>
    <xf numFmtId="0" fontId="2" fillId="4" borderId="0" xfId="0" applyFont="1" applyFill="1"/>
    <xf numFmtId="0" fontId="2" fillId="0" borderId="0" xfId="0" applyFont="1"/>
    <xf numFmtId="0" fontId="0" fillId="0" borderId="0" xfId="0" applyAlignment="1">
      <alignment vertical="center"/>
    </xf>
    <xf numFmtId="0" fontId="3" fillId="4" borderId="0" xfId="0" applyFont="1" applyFill="1" applyAlignment="1">
      <alignment vertical="center"/>
    </xf>
    <xf numFmtId="0" fontId="3" fillId="0" borderId="0" xfId="0" applyFont="1"/>
    <xf numFmtId="3" fontId="0" fillId="4" borderId="0" xfId="0" applyNumberFormat="1" applyFill="1"/>
    <xf numFmtId="3" fontId="0" fillId="0" borderId="0" xfId="0" quotePrefix="1" applyNumberFormat="1"/>
    <xf numFmtId="1" fontId="0" fillId="0" borderId="0" xfId="0" applyNumberFormat="1"/>
    <xf numFmtId="0" fontId="5" fillId="4" borderId="0" xfId="0" applyFont="1" applyFill="1" applyAlignment="1">
      <alignment vertical="center"/>
    </xf>
    <xf numFmtId="0" fontId="6" fillId="4" borderId="0" xfId="0" applyFont="1" applyFill="1"/>
    <xf numFmtId="0" fontId="8" fillId="4" borderId="0" xfId="0" applyFont="1" applyFill="1" applyAlignment="1">
      <alignment vertical="center"/>
    </xf>
    <xf numFmtId="0" fontId="6" fillId="4" borderId="0" xfId="0" applyFont="1" applyFill="1" applyAlignment="1">
      <alignment vertical="center"/>
    </xf>
    <xf numFmtId="0" fontId="7" fillId="4" borderId="0" xfId="0" applyFont="1" applyFill="1"/>
    <xf numFmtId="0" fontId="9" fillId="4" borderId="0" xfId="0" applyFont="1" applyFill="1"/>
    <xf numFmtId="0" fontId="7" fillId="4" borderId="0" xfId="0" applyFont="1" applyFill="1" applyAlignment="1">
      <alignment vertical="top" wrapText="1"/>
    </xf>
    <xf numFmtId="4" fontId="7" fillId="4" borderId="0" xfId="0" applyNumberFormat="1" applyFont="1" applyFill="1"/>
    <xf numFmtId="0" fontId="10" fillId="5" borderId="1" xfId="0" applyFont="1" applyFill="1" applyBorder="1" applyAlignment="1" applyProtection="1">
      <alignment horizontal="center"/>
      <protection hidden="1"/>
    </xf>
    <xf numFmtId="1" fontId="7" fillId="3" borderId="1" xfId="0" applyNumberFormat="1" applyFont="1" applyFill="1" applyBorder="1" applyAlignment="1" applyProtection="1">
      <alignment horizontal="center"/>
      <protection hidden="1"/>
    </xf>
    <xf numFmtId="0" fontId="7" fillId="3" borderId="1" xfId="0" applyFont="1" applyFill="1" applyBorder="1" applyAlignment="1" applyProtection="1">
      <alignment horizontal="centerContinuous"/>
      <protection hidden="1"/>
    </xf>
    <xf numFmtId="4" fontId="7" fillId="3" borderId="1" xfId="0" applyNumberFormat="1" applyFont="1" applyFill="1" applyBorder="1" applyAlignment="1" applyProtection="1">
      <alignment horizontal="center"/>
      <protection hidden="1"/>
    </xf>
    <xf numFmtId="0" fontId="0" fillId="0" borderId="0" xfId="0" applyProtection="1">
      <protection hidden="1"/>
    </xf>
    <xf numFmtId="1" fontId="2" fillId="3" borderId="1" xfId="0" applyNumberFormat="1" applyFont="1" applyFill="1" applyBorder="1" applyAlignment="1" applyProtection="1">
      <alignment horizontal="center"/>
      <protection hidden="1"/>
    </xf>
    <xf numFmtId="0" fontId="4" fillId="5" borderId="1" xfId="0" applyFont="1" applyFill="1" applyBorder="1" applyAlignment="1" applyProtection="1">
      <alignment horizontal="center"/>
      <protection hidden="1"/>
    </xf>
    <xf numFmtId="3" fontId="2" fillId="3" borderId="1" xfId="0" applyNumberFormat="1" applyFont="1" applyFill="1" applyBorder="1" applyAlignment="1" applyProtection="1">
      <alignment horizontal="center"/>
      <protection hidden="1"/>
    </xf>
    <xf numFmtId="3" fontId="2" fillId="4" borderId="0" xfId="0" applyNumberFormat="1" applyFont="1" applyFill="1" applyAlignment="1" applyProtection="1">
      <alignment horizontal="center"/>
      <protection hidden="1"/>
    </xf>
    <xf numFmtId="14" fontId="7" fillId="2" borderId="1" xfId="0" applyNumberFormat="1" applyFont="1" applyFill="1" applyBorder="1" applyAlignment="1" applyProtection="1">
      <alignment horizontal="center"/>
      <protection locked="0"/>
    </xf>
    <xf numFmtId="0" fontId="10" fillId="5" borderId="1" xfId="0" applyFont="1" applyFill="1" applyBorder="1" applyAlignment="1" applyProtection="1">
      <alignment horizontal="center"/>
      <protection locked="0"/>
    </xf>
    <xf numFmtId="0" fontId="7" fillId="2" borderId="1" xfId="0" applyFont="1" applyFill="1" applyBorder="1" applyAlignment="1" applyProtection="1">
      <alignment horizontal="center"/>
      <protection locked="0"/>
    </xf>
    <xf numFmtId="0" fontId="7" fillId="4" borderId="0" xfId="0" applyFont="1" applyFill="1" applyProtection="1">
      <protection hidden="1"/>
    </xf>
    <xf numFmtId="0" fontId="7" fillId="4" borderId="0" xfId="0" applyFont="1" applyFill="1" applyAlignment="1" applyProtection="1">
      <alignment horizontal="left" indent="5"/>
      <protection hidden="1"/>
    </xf>
    <xf numFmtId="0" fontId="7" fillId="4" borderId="0" xfId="0" applyFont="1" applyFill="1" applyAlignment="1" applyProtection="1">
      <alignment vertical="top"/>
      <protection hidden="1"/>
    </xf>
    <xf numFmtId="4" fontId="10" fillId="5" borderId="1" xfId="0" applyNumberFormat="1" applyFont="1" applyFill="1" applyBorder="1" applyAlignment="1" applyProtection="1">
      <alignment horizontal="center"/>
      <protection hidden="1"/>
    </xf>
    <xf numFmtId="0" fontId="7" fillId="0" borderId="0" xfId="0" applyFont="1" applyAlignment="1">
      <alignment horizontal="right" vertical="top"/>
    </xf>
    <xf numFmtId="14" fontId="10" fillId="5" borderId="1" xfId="0" applyNumberFormat="1" applyFont="1" applyFill="1" applyBorder="1" applyAlignment="1" applyProtection="1">
      <alignment horizontal="center" vertical="center"/>
      <protection locked="0"/>
    </xf>
    <xf numFmtId="0" fontId="7" fillId="0" borderId="0" xfId="0" applyFont="1"/>
    <xf numFmtId="0" fontId="12" fillId="4" borderId="0" xfId="0" applyFont="1" applyFill="1" applyAlignment="1">
      <alignment horizontal="left"/>
    </xf>
    <xf numFmtId="0" fontId="7" fillId="4" borderId="0" xfId="0" applyFont="1" applyFill="1" applyAlignment="1">
      <alignment vertical="center" wrapText="1"/>
    </xf>
    <xf numFmtId="0" fontId="7" fillId="4" borderId="0" xfId="0" applyFont="1" applyFill="1" applyAlignment="1">
      <alignment wrapText="1"/>
    </xf>
    <xf numFmtId="0" fontId="13" fillId="0" borderId="0" xfId="0" applyFont="1"/>
    <xf numFmtId="0" fontId="7" fillId="4" borderId="0" xfId="0" applyFont="1" applyFill="1" applyAlignment="1">
      <alignment vertical="center" wrapText="1"/>
    </xf>
    <xf numFmtId="0" fontId="7" fillId="4" borderId="0" xfId="0" applyFont="1" applyFill="1" applyAlignment="1">
      <alignment vertical="top" wrapText="1"/>
    </xf>
    <xf numFmtId="0" fontId="6" fillId="0" borderId="0" xfId="0" applyFont="1" applyAlignment="1">
      <alignment vertical="top" wrapText="1"/>
    </xf>
    <xf numFmtId="0" fontId="7"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0" fillId="0" borderId="0" xfId="0" applyAlignment="1">
      <alignment vertical="center" wrapText="1"/>
    </xf>
    <xf numFmtId="0" fontId="0" fillId="0" borderId="0" xfId="0" applyAlignment="1">
      <alignment vertical="center"/>
    </xf>
  </cellXfs>
  <cellStyles count="2">
    <cellStyle name="Normaali" xfId="0" builtinId="0"/>
    <cellStyle name="Normaali 2" xfId="1" xr:uid="{00000000-0005-0000-0000-000001000000}"/>
  </cellStyles>
  <dxfs count="6">
    <dxf>
      <font>
        <color theme="1"/>
      </font>
      <fill>
        <patternFill>
          <bgColor theme="7" tint="0.79998168889431442"/>
        </patternFill>
      </fill>
      <border>
        <left style="thin">
          <color auto="1"/>
        </left>
        <right style="thin">
          <color auto="1"/>
        </right>
        <top style="thin">
          <color auto="1"/>
        </top>
        <bottom style="thin">
          <color auto="1"/>
        </bottom>
        <vertical/>
        <horizontal/>
      </border>
    </dxf>
    <dxf>
      <font>
        <color theme="1"/>
      </font>
      <fill>
        <patternFill>
          <bgColor theme="7" tint="0.79998168889431442"/>
        </patternFill>
      </fill>
      <border>
        <left style="thin">
          <color auto="1"/>
        </left>
        <right style="thin">
          <color auto="1"/>
        </right>
        <top style="thin">
          <color auto="1"/>
        </top>
        <bottom style="thin">
          <color auto="1"/>
        </bottom>
        <vertical/>
        <horizontal/>
      </border>
    </dxf>
    <dxf>
      <font>
        <color theme="1"/>
      </font>
      <fill>
        <patternFill>
          <bgColor theme="7" tint="0.79998168889431442"/>
        </patternFill>
      </fill>
      <border>
        <left style="thin">
          <color auto="1"/>
        </left>
        <right style="thin">
          <color auto="1"/>
        </right>
        <top style="thin">
          <color auto="1"/>
        </top>
        <bottom style="thin">
          <color auto="1"/>
        </bottom>
        <vertical/>
        <horizontal/>
      </border>
    </dxf>
    <dxf>
      <font>
        <color theme="1"/>
      </font>
      <fill>
        <patternFill>
          <bgColor theme="7" tint="0.79998168889431442"/>
        </patternFill>
      </fill>
      <border>
        <left style="thin">
          <color auto="1"/>
        </left>
        <right style="thin">
          <color auto="1"/>
        </right>
        <top style="thin">
          <color auto="1"/>
        </top>
        <bottom style="thin">
          <color auto="1"/>
        </bottom>
        <vertical/>
        <horizontal/>
      </border>
    </dxf>
    <dxf>
      <font>
        <color theme="1"/>
      </font>
      <fill>
        <patternFill>
          <bgColor theme="4" tint="0.79998168889431442"/>
        </patternFill>
      </fill>
      <border>
        <left style="thin">
          <color auto="1"/>
        </left>
        <right style="thin">
          <color auto="1"/>
        </right>
        <top style="thin">
          <color auto="1"/>
        </top>
        <bottom style="thin">
          <color auto="1"/>
        </bottom>
        <vertical/>
        <horizontal/>
      </border>
    </dxf>
    <dxf>
      <font>
        <color theme="1"/>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6BE0-E6D2-4C92-A984-6B4BDEBA7ABA}">
  <dimension ref="A1:C27"/>
  <sheetViews>
    <sheetView zoomScaleNormal="100" workbookViewId="0"/>
  </sheetViews>
  <sheetFormatPr defaultColWidth="0" defaultRowHeight="14.5" zeroHeight="1" x14ac:dyDescent="0.35"/>
  <cols>
    <col min="1" max="1" width="142" customWidth="1"/>
    <col min="2" max="3" width="0" hidden="1" customWidth="1"/>
    <col min="4" max="16384" width="9.1796875" hidden="1"/>
  </cols>
  <sheetData>
    <row r="1" spans="1:3" ht="56.15" customHeight="1" x14ac:dyDescent="0.35">
      <c r="A1" s="42" t="s">
        <v>99</v>
      </c>
      <c r="B1" s="3"/>
      <c r="C1" s="42"/>
    </row>
    <row r="2" spans="1:3" ht="50.15" customHeight="1" x14ac:dyDescent="0.35">
      <c r="A2" s="18" t="s">
        <v>4</v>
      </c>
    </row>
    <row r="3" spans="1:3" s="48" customFormat="1" ht="42.65" customHeight="1" x14ac:dyDescent="0.45">
      <c r="A3" s="46" t="s">
        <v>76</v>
      </c>
    </row>
    <row r="4" spans="1:3" s="12" customFormat="1" ht="57" customHeight="1" x14ac:dyDescent="0.35">
      <c r="A4" s="49" t="s">
        <v>94</v>
      </c>
      <c r="B4" s="49"/>
      <c r="C4" s="49"/>
    </row>
    <row r="5" spans="1:3" s="12" customFormat="1" ht="57" customHeight="1" x14ac:dyDescent="0.35">
      <c r="A5" s="49" t="s">
        <v>96</v>
      </c>
      <c r="B5" s="49"/>
      <c r="C5" s="49"/>
    </row>
    <row r="6" spans="1:3" s="12" customFormat="1" ht="42" customHeight="1" x14ac:dyDescent="0.35">
      <c r="A6" s="49" t="s">
        <v>97</v>
      </c>
      <c r="B6" s="49"/>
      <c r="C6" s="49"/>
    </row>
    <row r="7" spans="1:3" s="12" customFormat="1" ht="42" customHeight="1" x14ac:dyDescent="0.35">
      <c r="A7" s="20" t="s">
        <v>77</v>
      </c>
      <c r="B7" s="21"/>
      <c r="C7" s="21"/>
    </row>
    <row r="8" spans="1:3" ht="17.5" x14ac:dyDescent="0.35">
      <c r="A8" s="46" t="s">
        <v>82</v>
      </c>
    </row>
    <row r="9" spans="1:3" ht="84" customHeight="1" x14ac:dyDescent="0.45">
      <c r="A9" s="47" t="s">
        <v>98</v>
      </c>
    </row>
    <row r="10" spans="1:3" ht="80.25" customHeight="1" x14ac:dyDescent="0.45">
      <c r="A10" s="47" t="s">
        <v>85</v>
      </c>
    </row>
    <row r="11" spans="1:3" ht="43.5" customHeight="1" x14ac:dyDescent="0.45">
      <c r="A11" s="47" t="s">
        <v>78</v>
      </c>
    </row>
    <row r="12" spans="1:3" ht="58" customHeight="1" x14ac:dyDescent="0.45">
      <c r="A12" s="47" t="s">
        <v>88</v>
      </c>
    </row>
    <row r="13" spans="1:3" ht="78" customHeight="1" x14ac:dyDescent="0.45">
      <c r="A13" s="47" t="s">
        <v>79</v>
      </c>
    </row>
    <row r="14" spans="1:3" ht="58" customHeight="1" x14ac:dyDescent="0.45">
      <c r="A14" s="47" t="s">
        <v>81</v>
      </c>
    </row>
    <row r="15" spans="1:3" ht="58" customHeight="1" x14ac:dyDescent="0.45">
      <c r="A15" s="47" t="s">
        <v>80</v>
      </c>
    </row>
    <row r="16" spans="1:3" ht="58" customHeight="1" x14ac:dyDescent="0.45">
      <c r="A16" s="47" t="s">
        <v>86</v>
      </c>
    </row>
    <row r="17" spans="1:3" s="12" customFormat="1" ht="42" customHeight="1" x14ac:dyDescent="0.35">
      <c r="A17" s="20" t="s">
        <v>21</v>
      </c>
      <c r="B17" s="21"/>
      <c r="C17" s="21"/>
    </row>
    <row r="18" spans="1:3" ht="17.5" x14ac:dyDescent="0.35">
      <c r="A18" s="46" t="s">
        <v>90</v>
      </c>
    </row>
    <row r="19" spans="1:3" ht="58" customHeight="1" x14ac:dyDescent="0.45">
      <c r="A19" s="47" t="s">
        <v>91</v>
      </c>
    </row>
    <row r="20" spans="1:3" ht="22" customHeight="1" x14ac:dyDescent="0.45">
      <c r="A20" s="47" t="s">
        <v>83</v>
      </c>
    </row>
    <row r="21" spans="1:3" ht="94" customHeight="1" x14ac:dyDescent="0.45">
      <c r="A21" s="47" t="s">
        <v>92</v>
      </c>
    </row>
    <row r="22" spans="1:3" ht="42" customHeight="1" x14ac:dyDescent="0.45">
      <c r="A22" s="20" t="s">
        <v>22</v>
      </c>
      <c r="B22" s="22"/>
      <c r="C22" s="10"/>
    </row>
    <row r="23" spans="1:3" ht="42" customHeight="1" x14ac:dyDescent="0.45">
      <c r="A23" s="47" t="s">
        <v>84</v>
      </c>
    </row>
    <row r="24" spans="1:3" ht="130" customHeight="1" x14ac:dyDescent="0.45">
      <c r="A24" s="47" t="s">
        <v>100</v>
      </c>
    </row>
    <row r="25" spans="1:3" ht="130" customHeight="1" x14ac:dyDescent="0.45">
      <c r="A25" s="47" t="s">
        <v>93</v>
      </c>
    </row>
    <row r="26" spans="1:3" ht="78" customHeight="1" x14ac:dyDescent="0.45">
      <c r="A26" s="47" t="s">
        <v>87</v>
      </c>
    </row>
    <row r="27" spans="1:3" ht="94" customHeight="1" x14ac:dyDescent="0.45">
      <c r="A27" s="47" t="s">
        <v>89</v>
      </c>
    </row>
  </sheetData>
  <sheetProtection sheet="1" objects="1" scenarios="1"/>
  <mergeCells count="3">
    <mergeCell ref="A6:C6"/>
    <mergeCell ref="A5:C5"/>
    <mergeCell ref="A4:C4"/>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ul1"/>
  <dimension ref="A1:XFC34"/>
  <sheetViews>
    <sheetView tabSelected="1" zoomScaleNormal="100" workbookViewId="0"/>
  </sheetViews>
  <sheetFormatPr defaultColWidth="0" defaultRowHeight="14.5" zeroHeight="1" x14ac:dyDescent="0.35"/>
  <cols>
    <col min="1" max="1" width="82" customWidth="1"/>
    <col min="2" max="2" width="24.7265625" customWidth="1"/>
    <col min="3" max="3" width="39.81640625" customWidth="1"/>
    <col min="4" max="4" width="10.54296875" hidden="1" customWidth="1"/>
    <col min="5" max="16383" width="8.7265625" hidden="1"/>
    <col min="16384" max="16384" width="1.453125" hidden="1" customWidth="1"/>
  </cols>
  <sheetData>
    <row r="1" spans="1:3" ht="56.15" customHeight="1" x14ac:dyDescent="0.35">
      <c r="A1" s="3"/>
      <c r="B1" s="3"/>
      <c r="C1" s="42" t="s">
        <v>101</v>
      </c>
    </row>
    <row r="2" spans="1:3" ht="50.15" customHeight="1" x14ac:dyDescent="0.45">
      <c r="A2" s="18" t="s">
        <v>4</v>
      </c>
      <c r="B2" s="19"/>
      <c r="C2" s="19"/>
    </row>
    <row r="3" spans="1:3" s="12" customFormat="1" ht="42" customHeight="1" x14ac:dyDescent="0.35">
      <c r="A3" s="49" t="s">
        <v>5</v>
      </c>
      <c r="B3" s="49"/>
      <c r="C3" s="49"/>
    </row>
    <row r="4" spans="1:3" s="12" customFormat="1" ht="57" customHeight="1" x14ac:dyDescent="0.35">
      <c r="A4" s="49" t="s">
        <v>94</v>
      </c>
      <c r="B4" s="49"/>
      <c r="C4" s="49"/>
    </row>
    <row r="5" spans="1:3" s="12" customFormat="1" ht="57" customHeight="1" x14ac:dyDescent="0.35">
      <c r="A5" s="49" t="s">
        <v>96</v>
      </c>
      <c r="B5" s="49"/>
      <c r="C5" s="49"/>
    </row>
    <row r="6" spans="1:3" s="12" customFormat="1" ht="42" customHeight="1" x14ac:dyDescent="0.35">
      <c r="A6" s="49" t="s">
        <v>97</v>
      </c>
      <c r="B6" s="49"/>
      <c r="C6" s="49"/>
    </row>
    <row r="7" spans="1:3" s="12" customFormat="1" ht="42" customHeight="1" x14ac:dyDescent="0.35">
      <c r="A7" s="20" t="s">
        <v>59</v>
      </c>
      <c r="B7" s="21"/>
      <c r="C7" s="21"/>
    </row>
    <row r="8" spans="1:3" ht="17.149999999999999" customHeight="1" x14ac:dyDescent="0.45">
      <c r="A8" s="38" t="s">
        <v>47</v>
      </c>
      <c r="B8" s="35"/>
      <c r="C8" s="23"/>
    </row>
    <row r="9" spans="1:3" ht="17.149999999999999" customHeight="1" x14ac:dyDescent="0.45">
      <c r="A9" s="38" t="s">
        <v>48</v>
      </c>
      <c r="B9" s="35"/>
      <c r="C9" s="22"/>
    </row>
    <row r="10" spans="1:3" ht="17.149999999999999" customHeight="1" x14ac:dyDescent="0.45">
      <c r="A10" s="38" t="s">
        <v>49</v>
      </c>
      <c r="B10" s="35"/>
      <c r="C10" s="22"/>
    </row>
    <row r="11" spans="1:3" ht="17.149999999999999" customHeight="1" x14ac:dyDescent="0.45">
      <c r="A11" s="38" t="str">
        <f>IF(AND(YEAR(B8)&lt;2016,ISNUMBER(B8)),'Selitetekstit &amp; laskenta-apu'!A8,"")</f>
        <v/>
      </c>
      <c r="B11" s="36"/>
      <c r="C11" s="22"/>
    </row>
    <row r="12" spans="1:3" ht="17.149999999999999" customHeight="1" x14ac:dyDescent="0.45">
      <c r="A12" s="38" t="s">
        <v>40</v>
      </c>
      <c r="B12" s="37"/>
      <c r="C12" s="22"/>
    </row>
    <row r="13" spans="1:3" ht="17.149999999999999" customHeight="1" x14ac:dyDescent="0.45">
      <c r="A13" s="39" t="str">
        <f>IF(UPPER(B12)="E",'Selitetekstit &amp; laskenta-apu'!A9,IF(UPPER(B12)="K",'Selitetekstit &amp; laskenta-apu'!A10,""))</f>
        <v/>
      </c>
      <c r="B13" s="37"/>
      <c r="C13" s="22"/>
    </row>
    <row r="14" spans="1:3" ht="17.149999999999999" customHeight="1" x14ac:dyDescent="0.45">
      <c r="A14" s="39" t="str">
        <f>IF(UPPER(B12)="K",'Selitetekstit &amp; laskenta-apu'!A11,"")</f>
        <v/>
      </c>
      <c r="B14" s="36"/>
      <c r="C14" s="22"/>
    </row>
    <row r="15" spans="1:3" ht="17.149999999999999" customHeight="1" x14ac:dyDescent="0.45">
      <c r="A15" s="39" t="str">
        <f>IF(UPPER(B12)="K",'Selitetekstit &amp; laskenta-apu'!A12,"")</f>
        <v/>
      </c>
      <c r="B15" s="43"/>
      <c r="C15" s="22"/>
    </row>
    <row r="16" spans="1:3" ht="58" customHeight="1" x14ac:dyDescent="0.45">
      <c r="A16" s="22"/>
      <c r="B16" s="52" t="s">
        <v>66</v>
      </c>
      <c r="C16" s="53"/>
    </row>
    <row r="17" spans="1:4" ht="58" customHeight="1" x14ac:dyDescent="0.45">
      <c r="A17" s="22"/>
      <c r="B17" s="52" t="s">
        <v>65</v>
      </c>
      <c r="C17" s="54"/>
    </row>
    <row r="18" spans="1:4" ht="42" customHeight="1" x14ac:dyDescent="0.45">
      <c r="A18" s="20" t="s">
        <v>21</v>
      </c>
      <c r="B18" s="22"/>
      <c r="C18" s="22"/>
    </row>
    <row r="19" spans="1:4" ht="17.149999999999999" customHeight="1" x14ac:dyDescent="0.45">
      <c r="A19" s="38" t="str">
        <f>IF(YEAR(B10)&gt;1900,"Vahingoittuneen ikä vahingon sattuessa/ilmetessä","")</f>
        <v/>
      </c>
      <c r="B19" s="27" t="str">
        <f>IF(AND(ISNUMBER(B8),ISNUMBER(B10),B8&gt;=B10,YEAR(B8)&gt;=2003),DATEDIF(B10,B8,"Y"),"-")</f>
        <v>-</v>
      </c>
      <c r="C19" s="22"/>
    </row>
    <row r="20" spans="1:4" ht="17.149999999999999" customHeight="1" x14ac:dyDescent="0.45">
      <c r="A20" s="38" t="str">
        <f>IF(UPPER(B12)="K",'Selitetekstit &amp; laskenta-apu'!A24,"")</f>
        <v/>
      </c>
      <c r="B20" s="26" t="str">
        <f>IF(AND(B12="K",B8&gt;=B10,YEAR(B8)&gt;=2003,B15&gt;B8),DATEDIF(B10,B15,"Y"),"")</f>
        <v/>
      </c>
      <c r="C20" s="22"/>
    </row>
    <row r="21" spans="1:4" ht="17.149999999999999" customHeight="1" x14ac:dyDescent="0.45">
      <c r="A21" s="40" t="str">
        <f>IF(UPPER(B12)="E",'Selitetekstit &amp; laskenta-apu'!A13,IF(UPPER(B12)="K",'Selitetekstit &amp; laskenta-apu'!A14,""))</f>
        <v/>
      </c>
      <c r="B21" s="28" t="str">
        <f>IF(OR(AND(UPPER(B12)="E",'Selitetekstit &amp; laskenta-apu'!B15),AND(UPPER(B12)="K",'Selitetekstit &amp; laskenta-apu'!C15)),"kertakorvauksena",IF(OR(AND(UPPER(B12)="E",'Selitetekstit &amp; laskenta-apu'!B16),AND(UPPER(B12)="K",'Selitetekstit &amp; laskenta-apu'!C16)),"jatkuvana korvauksena","-"))</f>
        <v>-</v>
      </c>
      <c r="C21" s="22"/>
    </row>
    <row r="22" spans="1:4" ht="17.149999999999999" customHeight="1" x14ac:dyDescent="0.45">
      <c r="A22" s="38" t="str">
        <f ca="1">IF(AND(B21="kertakorvauksena",YEAR(B9)&lt;='Selitetekstit &amp; laskenta-apu'!B25),'Selitetekstit &amp; laskenta-apu'!A2,IF(AND(B21="jatkuvana korvauksena",YEAR(B9)&lt;='Selitetekstit &amp; laskenta-apu'!B25),'Selitetekstit &amp; laskenta-apu'!A3,IF(AND(B21="kertakorvauksena",YEAR(B9)&gt;'Selitetekstit &amp; laskenta-apu'!B25),'Selitetekstit &amp; laskenta-apu'!A4,IF(AND(B21="jatkuvana korvauksena",YEAR(B9)&gt;'Selitetekstit &amp; laskenta-apu'!B25),'Selitetekstit &amp; laskenta-apu'!A5,""))))</f>
        <v/>
      </c>
      <c r="B22" s="29" t="str">
        <f>IF(MAX('Selitetekstit &amp; laskenta-apu'!B28:B34)+MAX('Selitetekstit &amp; laskenta-apu'!C28:C34)&gt;0,MAX('Selitetekstit &amp; laskenta-apu'!B28:B34)+MAX('Selitetekstit &amp; laskenta-apu'!C28:C34),"-")</f>
        <v>-</v>
      </c>
      <c r="C22" s="25"/>
    </row>
    <row r="23" spans="1:4" ht="17.149999999999999" customHeight="1" x14ac:dyDescent="0.45">
      <c r="A23" s="38" t="str">
        <f>IF(AND(B21='Selitetekstit &amp; laskenta-apu'!A16,UPPER(B12)="K",OR(AND(B13&gt;10,YEAR(B8)&lt;2016),AND(B13&gt;5,YEAR(B8)&gt;=2016))),'Selitetekstit &amp; laskenta-apu'!A7,"")</f>
        <v/>
      </c>
      <c r="B23" s="41" t="str">
        <f>IF(AND(B21='Selitetekstit &amp; laskenta-apu'!A16,UPPER(B12)="K",OR(AND(B13&gt;10,YEAR(B8)&lt;2016),AND(B13&gt;5,YEAR(B8)&gt;=2016))),IF(ABS(MAX('Selitetekstit &amp; laskenta-apu'!B28:B33)+MAX('Selitetekstit &amp; laskenta-apu'!C28:C33))&gt;0,MAX('Selitetekstit &amp; laskenta-apu'!B28:B33)+MAX('Selitetekstit &amp; laskenta-apu'!C28:C33),"-"),"")</f>
        <v/>
      </c>
      <c r="C23" s="22"/>
      <c r="D23" s="1"/>
    </row>
    <row r="24" spans="1:4" ht="85" customHeight="1" x14ac:dyDescent="0.35">
      <c r="A24" s="24" t="str">
        <f ca="1">IF(OR(A22='Selitetekstit &amp; laskenta-apu'!A4,A22='Selitetekstit &amp; laskenta-apu'!A5),'Selitetekstit &amp; laskenta-apu'!A6,"")</f>
        <v/>
      </c>
      <c r="B24" s="50" t="s">
        <v>95</v>
      </c>
      <c r="C24" s="51"/>
      <c r="D24" s="1"/>
    </row>
    <row r="25" spans="1:4" ht="42" customHeight="1" x14ac:dyDescent="0.45">
      <c r="A25" s="20" t="s">
        <v>22</v>
      </c>
      <c r="B25" s="22"/>
      <c r="C25" s="10"/>
    </row>
    <row r="26" spans="1:4" ht="17.149999999999999" customHeight="1" x14ac:dyDescent="0.45">
      <c r="A26" s="44" t="s">
        <v>57</v>
      </c>
      <c r="B26" s="29" t="str">
        <f>IF(MAX('Selitetekstit &amp; laskenta-apu'!D28:D34)&gt;0,MAX('Selitetekstit &amp; laskenta-apu'!D28:D34),"-")</f>
        <v>-</v>
      </c>
      <c r="C26" s="22" t="str">
        <f>IF(AND(UPPER(B12)="K",B21='Selitetekstit &amp; laskenta-apu'!A15,Haittarahalaskuri!B14&gt;Haittarahalaskuri!B13,B13&gt;0),CONCATENATE("   (= ",ROUND('Selitetekstit &amp; laskenta-apu'!J30,2)," - ", ROUND('Selitetekstit &amp; laskenta-apu'!K30,2),") ***"),IF(AND(UPPER(B12)="K",B21='Selitetekstit &amp; laskenta-apu'!A16,OR(AND(Haittarahalaskuri!B13&lt;=10,'Selitetekstit &amp; laskenta-apu'!B21&lt;2016),AND(Haittarahalaskuri!B13&lt;=5,'Selitetekstit &amp; laskenta-apu'!B21&gt;=2016)),B13&gt;0),CONCATENATE("   (= ",ROUND('Selitetekstit &amp; laskenta-apu'!H32,2)," - ",ROUND('Selitetekstit &amp; laskenta-apu'!I32,2),") ***"),""))</f>
        <v/>
      </c>
    </row>
    <row r="27" spans="1:4" ht="17.149999999999999" customHeight="1" x14ac:dyDescent="0.45">
      <c r="A27" s="22" t="s">
        <v>60</v>
      </c>
      <c r="B27" s="29" t="str">
        <f>IF(MAX('Selitetekstit &amp; laskenta-apu'!F28:F34)&gt;0,MAX('Selitetekstit &amp; laskenta-apu'!F28:F34),"-")</f>
        <v>-</v>
      </c>
      <c r="C27" s="22" t="str">
        <f>IF(AND(UPPER(B12)="K",B21='Selitetekstit &amp; laskenta-apu'!A15,Haittarahalaskuri!B14&gt;Haittarahalaskuri!B13,ISNUMBER(Haittarahalaskuri!B27)),CONCATENATE("   (= ",ROUND('Selitetekstit &amp; laskenta-apu'!L30,2)," - ",ROUND('Selitetekstit &amp; laskenta-apu'!M30,2),") ****"),"")</f>
        <v/>
      </c>
    </row>
    <row r="28" spans="1:4" ht="17.149999999999999" customHeight="1" x14ac:dyDescent="0.45">
      <c r="A28" s="22" t="s">
        <v>61</v>
      </c>
      <c r="B28" s="29" t="str">
        <f>IF(MAX('Selitetekstit &amp; laskenta-apu'!E28:E34)&gt;0,MAX('Selitetekstit &amp; laskenta-apu'!E28:E34),"-")</f>
        <v>-</v>
      </c>
      <c r="C28" s="3"/>
    </row>
    <row r="29" spans="1:4" ht="17.149999999999999" customHeight="1" x14ac:dyDescent="0.45">
      <c r="A29" s="22" t="s">
        <v>62</v>
      </c>
      <c r="B29" s="29" t="str">
        <f>IF(MAX('Selitetekstit &amp; laskenta-apu'!G28:G34)&gt;0,MAX('Selitetekstit &amp; laskenta-apu'!G28:G34),"-")</f>
        <v>-</v>
      </c>
      <c r="C29" s="3"/>
    </row>
    <row r="30" spans="1:4" ht="17.149999999999999" customHeight="1" x14ac:dyDescent="0.45">
      <c r="A30" s="22" t="s">
        <v>30</v>
      </c>
      <c r="B30" s="29" t="str">
        <f>IF(SUM(B26:B29)&gt;0,SUM(B26:B29),"-")</f>
        <v>-</v>
      </c>
      <c r="C30" s="15"/>
    </row>
    <row r="31" spans="1:4" ht="24.75" customHeight="1" x14ac:dyDescent="0.45">
      <c r="A31" s="45" t="s">
        <v>63</v>
      </c>
      <c r="B31" s="19"/>
      <c r="C31" s="3"/>
    </row>
    <row r="32" spans="1:4" ht="16.5" customHeight="1" x14ac:dyDescent="0.45">
      <c r="A32" s="22" t="str">
        <f>IF(AND(UPPER(B12)="K",B21='Selitetekstit &amp; laskenta-apu'!A15,Haittarahalaskuri!B14&gt;Haittarahalaskuri!B13,B13&gt;0),'Selitetekstit &amp; laskenta-apu'!A17, IF(AND(UPPER(B12)="K",B21='Selitetekstit &amp; laskenta-apu'!A16, OR(AND(Haittarahalaskuri!B13&lt;=10,'Selitetekstit &amp; laskenta-apu'!B21&lt;2016),AND(Haittarahalaskuri!B13&lt;=5,'Selitetekstit &amp; laskenta-apu'!B21&gt;=2016)),B13&gt;0),'Selitetekstit &amp; laskenta-apu'!A19,""))</f>
        <v/>
      </c>
      <c r="B32" s="3"/>
      <c r="C32" s="15"/>
    </row>
    <row r="33" spans="1:3" ht="16.5" customHeight="1" x14ac:dyDescent="0.45">
      <c r="A33" s="22" t="str">
        <f>IF(AND(UPPER(B12)="K",B21='Selitetekstit &amp; laskenta-apu'!A15,Haittarahalaskuri!B14&gt;Haittarahalaskuri!B13,ISNUMBER(B27)),'Selitetekstit &amp; laskenta-apu'!A18,"")</f>
        <v/>
      </c>
      <c r="C33" s="15"/>
    </row>
    <row r="34" spans="1:3" hidden="1" x14ac:dyDescent="0.35">
      <c r="B34" s="3"/>
    </row>
  </sheetData>
  <sheetProtection sheet="1" objects="1" scenarios="1"/>
  <mergeCells count="7">
    <mergeCell ref="A3:C3"/>
    <mergeCell ref="A4:C4"/>
    <mergeCell ref="A5:C5"/>
    <mergeCell ref="B24:C24"/>
    <mergeCell ref="B16:C16"/>
    <mergeCell ref="B17:C17"/>
    <mergeCell ref="A6:C6"/>
  </mergeCells>
  <conditionalFormatting sqref="B11">
    <cfRule type="expression" dxfId="5" priority="7">
      <formula>AND(YEAR($B$8)&lt;2016,YEAR($B$8)&gt;2003)</formula>
    </cfRule>
  </conditionalFormatting>
  <conditionalFormatting sqref="B14:B15">
    <cfRule type="expression" dxfId="4" priority="12">
      <formula>UPPER($B$12)="K"</formula>
    </cfRule>
  </conditionalFormatting>
  <conditionalFormatting sqref="B20">
    <cfRule type="expression" dxfId="3" priority="9">
      <formula>UPPER(B12)="K"</formula>
    </cfRule>
  </conditionalFormatting>
  <dataValidations xWindow="800" yWindow="689" count="8">
    <dataValidation type="list" allowBlank="1" showInputMessage="1" showErrorMessage="1" promptTitle="Sukupuoli" prompt="Tarvittaessa valitse vahingoittuneen sukupuoli alasvetovalikosta:_x000a_M (=mies) tai N (=nainen)" sqref="B11" xr:uid="{938AF53A-6553-481E-96E8-4FD0473D679C}">
      <formula1>"M,N"</formula1>
    </dataValidation>
    <dataValidation type="list" allowBlank="1" showInputMessage="1" showErrorMessage="1" promptTitle="Uusi haittaluokka" prompt="Tarvittaessa valitse vahinkotapahtuman uusi muuttunut haittaluokka 1-20 alasvetovalikosta" sqref="B14" xr:uid="{E0FEDD27-5353-4C09-ADE9-0777F1759EAB}">
      <formula1>"1,2,3,4,5,6,7,8,9,10,11,12,13,14,15,16,17,18,19,20"</formula1>
    </dataValidation>
    <dataValidation type="date" allowBlank="1" showInputMessage="1" showErrorMessage="1" errorTitle="Virhe!" error="Vahinkotapahtuman sattumis-/ilmenemispäivä tulee olla välillä 1.1.2004 - kuluva päivä_x000a__x000a_Vahinkotapahtuman sattumis-/ilmenemispäivä ei saa olla ennen syntymäpäivää eikä maksupäivän jälkeen." promptTitle="Sattumispäivä tai ilmenemispäivä" prompt="Täytä vahinkotapahtuman sattumis-/ilmenemispäivä väliltä 1.1.2004 - kuluva päivä" sqref="B8" xr:uid="{9260B634-3B0B-4E65-8E44-96E049465A08}">
      <formula1>MAX(DATEVALUE("1.1.2004"),B10)</formula1>
      <formula2>MIN(TODAY(),B9)</formula2>
    </dataValidation>
    <dataValidation type="date" operator="greaterThanOrEqual" allowBlank="1" showInputMessage="1" showErrorMessage="1" errorTitle="Virhe!" error="Haittarahan maksupäivän tulee olla aikaisintaan vuoden kuluttua sattumis-/ilmenemispäivästä" promptTitle="Maksupäivä" prompt="Täytä arvioitu tai toteutunut maksupäivä; haittaluokan muutostilanteessa uuden haittaluokan mukaisen korvauksen maksupäivä. Maksupäivä voi olla aikaisintaan vuoden kuluttua sattumis-/ilmenemispäivästä." sqref="B9" xr:uid="{573182E4-665A-433D-804D-6DB5B2035A16}">
      <formula1>EDATE(B8,12)</formula1>
    </dataValidation>
    <dataValidation type="date" operator="lessThanOrEqual" allowBlank="1" showInputMessage="1" showErrorMessage="1" errorTitle="Virhe!" error="Vahingoittuneen syntymäpäivän tulee olla korkeintaan vahingon sattumis-/ilmenemispäivä" promptTitle="Syntymäpäivä" prompt="Täytä vahingoittuneen syntymäpäivä" sqref="B10" xr:uid="{E3137BE9-3E87-4FF2-9D82-8A8895EC08F1}">
      <formula1>B8</formula1>
    </dataValidation>
    <dataValidation type="list" allowBlank="1" showInputMessage="1" showErrorMessage="1" promptTitle="Haittaluokan muutos" prompt="Valitse arvo alasvetovalikosta:_x000a_K (=kyllä) tai E (=ei)" sqref="B12" xr:uid="{23090F1F-8969-411C-90F9-A3C4F36BC1F5}">
      <formula1>"K,E"</formula1>
    </dataValidation>
    <dataValidation type="date" allowBlank="1" showInputMessage="1" showErrorMessage="1" errorTitle="Virhe!" error="Haittaluokan muutospäivän tulee olla myöhemmin kuin sattumis/ilmenemispäivä. Muutospäivä ei voi olla myöhemmin kuin maksupäivä tai kuluva päivä. Tarkista tarvittaessa myös maksupäivä." promptTitle="Haittaluokan muutospäivä" prompt="Tarvittaessa anna haittaluokan muutospäivä" sqref="B15" xr:uid="{06B4BAC7-5993-499A-B512-81D7E6D88481}">
      <formula1>B8+1</formula1>
      <formula2>MIN(TODAY(),B9)</formula2>
    </dataValidation>
    <dataValidation type="list" allowBlank="1" showInputMessage="1" showErrorMessage="1" promptTitle="Haittaluokka" prompt="Valitse vahinkotapahtuman haittaluokka 0-20 alasvetovalikosta" sqref="B13" xr:uid="{8D6627AE-45E4-4255-9FE6-971922B2EEFE}">
      <formula1>"0,1,2,3,4,5,6,7,8,9,10,11,12,13,14,15,16,17,18,19,20"</formula1>
    </dataValidation>
  </dataValidations>
  <pageMargins left="0.7" right="0.7" top="0.75" bottom="0.75" header="0.3" footer="0.3"/>
  <pageSetup paperSize="9" scale="61" orientation="portrait" verticalDpi="300" r:id="rId1"/>
  <extLst>
    <ext xmlns:x14="http://schemas.microsoft.com/office/spreadsheetml/2009/9/main" uri="{78C0D931-6437-407d-A8EE-F0AAD7539E65}">
      <x14:conditionalFormattings>
        <x14:conditionalFormatting xmlns:xm="http://schemas.microsoft.com/office/excel/2006/main">
          <x14:cfRule type="expression" priority="13" id="{D5B3D251-92C8-40B8-8302-19C745AB6A03}">
            <xm:f>AND(B21='Selitetekstit &amp; laskenta-apu'!A17,UPPER(B12)="K",OR(AND(B13&gt;10,YEAR(B8)&lt;2016),AND(B13&gt;5,YEAR(B8)&gt;=2016)))</xm:f>
            <x14:dxf>
              <font>
                <color theme="1"/>
              </font>
              <fill>
                <patternFill>
                  <bgColor theme="7" tint="0.79998168889431442"/>
                </patternFill>
              </fill>
              <border>
                <left style="thin">
                  <color auto="1"/>
                </left>
                <right style="thin">
                  <color auto="1"/>
                </right>
                <top style="thin">
                  <color auto="1"/>
                </top>
                <bottom style="thin">
                  <color auto="1"/>
                </bottom>
                <vertical/>
                <horizontal/>
              </border>
            </x14:dxf>
          </x14:cfRule>
          <xm:sqref>B23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ul2"/>
  <dimension ref="A1:X232"/>
  <sheetViews>
    <sheetView workbookViewId="0">
      <selection sqref="A1:S1"/>
    </sheetView>
  </sheetViews>
  <sheetFormatPr defaultRowHeight="14.5" x14ac:dyDescent="0.35"/>
  <cols>
    <col min="1" max="1" width="23.81640625" customWidth="1"/>
  </cols>
  <sheetData>
    <row r="1" spans="1:24" ht="80.150000000000006" customHeight="1" x14ac:dyDescent="0.35">
      <c r="A1" s="55" t="s">
        <v>14</v>
      </c>
      <c r="B1" s="55"/>
      <c r="C1" s="55"/>
      <c r="D1" s="55"/>
      <c r="E1" s="55"/>
      <c r="F1" s="55"/>
      <c r="G1" s="55"/>
      <c r="H1" s="56"/>
      <c r="I1" s="56"/>
      <c r="J1" s="56"/>
      <c r="K1" s="56"/>
      <c r="L1" s="56"/>
      <c r="M1" s="56"/>
      <c r="N1" s="56"/>
      <c r="O1" s="56"/>
      <c r="P1" s="56"/>
      <c r="Q1" s="56"/>
      <c r="R1" s="56"/>
      <c r="S1" s="56"/>
    </row>
    <row r="2" spans="1:24" ht="41.5" customHeight="1" x14ac:dyDescent="0.35">
      <c r="A2" s="55" t="s">
        <v>55</v>
      </c>
      <c r="B2" s="55"/>
      <c r="C2" s="55"/>
      <c r="D2" s="55"/>
      <c r="E2" s="55"/>
      <c r="F2" s="55"/>
      <c r="G2" s="55"/>
      <c r="H2" s="55"/>
      <c r="I2" s="55"/>
      <c r="J2" s="55"/>
      <c r="K2" s="55"/>
      <c r="L2" s="55"/>
      <c r="M2" s="55"/>
      <c r="N2" s="55"/>
      <c r="O2" s="55"/>
      <c r="P2" s="55"/>
      <c r="Q2" s="55"/>
      <c r="R2" s="55"/>
      <c r="S2" s="55"/>
    </row>
    <row r="4" spans="1:24" x14ac:dyDescent="0.35">
      <c r="A4" t="s">
        <v>9</v>
      </c>
      <c r="B4" s="5">
        <v>2004</v>
      </c>
      <c r="C4" s="5">
        <v>2005</v>
      </c>
      <c r="D4" s="5">
        <v>2006</v>
      </c>
      <c r="E4" s="5">
        <v>2007</v>
      </c>
      <c r="F4" s="5">
        <v>2008</v>
      </c>
      <c r="G4" s="5">
        <v>2009</v>
      </c>
      <c r="H4" s="5">
        <v>2010</v>
      </c>
      <c r="I4" s="5">
        <v>2011</v>
      </c>
      <c r="J4" s="5">
        <v>2012</v>
      </c>
      <c r="K4" s="5">
        <v>2013</v>
      </c>
      <c r="L4" s="5">
        <v>2014</v>
      </c>
      <c r="M4" s="5">
        <v>2015</v>
      </c>
      <c r="N4" s="5">
        <v>2016</v>
      </c>
      <c r="O4" s="5">
        <v>2017</v>
      </c>
      <c r="P4" s="5">
        <v>2018</v>
      </c>
      <c r="Q4" s="5">
        <v>2019</v>
      </c>
      <c r="R4" s="5">
        <v>2020</v>
      </c>
      <c r="S4" s="5">
        <v>2021</v>
      </c>
      <c r="T4" s="5">
        <v>2022</v>
      </c>
      <c r="U4" s="5">
        <v>2023</v>
      </c>
      <c r="V4" s="5">
        <v>2024</v>
      </c>
      <c r="W4" s="5">
        <v>2025</v>
      </c>
      <c r="X4" s="5">
        <v>2026</v>
      </c>
    </row>
    <row r="5" spans="1:24" ht="29" x14ac:dyDescent="0.35">
      <c r="A5" s="8" t="s">
        <v>8</v>
      </c>
      <c r="B5" s="1">
        <v>9210</v>
      </c>
      <c r="C5" s="1">
        <v>9470</v>
      </c>
      <c r="D5" s="1">
        <v>9790</v>
      </c>
      <c r="E5" s="1">
        <v>10130</v>
      </c>
      <c r="F5" s="1">
        <v>10350</v>
      </c>
      <c r="G5" s="1">
        <v>10980</v>
      </c>
      <c r="H5" s="1">
        <v>11340</v>
      </c>
      <c r="I5" s="1">
        <v>11540</v>
      </c>
      <c r="J5" s="1">
        <v>11890</v>
      </c>
      <c r="K5" s="1">
        <v>12220</v>
      </c>
      <c r="L5" s="1">
        <v>12440</v>
      </c>
      <c r="M5" s="1">
        <v>12560</v>
      </c>
      <c r="N5" s="1">
        <v>12490</v>
      </c>
      <c r="O5" s="1">
        <v>12560</v>
      </c>
      <c r="P5" s="1">
        <v>12630</v>
      </c>
      <c r="Q5" s="1">
        <v>12820</v>
      </c>
      <c r="R5" s="1">
        <v>12980</v>
      </c>
      <c r="S5" s="1">
        <v>13040</v>
      </c>
      <c r="T5" s="1">
        <v>13340</v>
      </c>
      <c r="U5" s="1">
        <v>14250</v>
      </c>
      <c r="V5" s="1">
        <v>15060</v>
      </c>
      <c r="W5" s="1">
        <v>15260</v>
      </c>
      <c r="X5" s="1">
        <v>15390</v>
      </c>
    </row>
    <row r="6" spans="1:24" x14ac:dyDescent="0.35">
      <c r="A6" t="s">
        <v>7</v>
      </c>
      <c r="B6" s="9">
        <v>4.4999999999999998E-2</v>
      </c>
      <c r="C6" s="9">
        <v>4.4999999999999998E-2</v>
      </c>
      <c r="D6" s="9">
        <v>4.4999999999999998E-2</v>
      </c>
      <c r="E6" s="9">
        <v>0.04</v>
      </c>
      <c r="F6" s="9">
        <v>0.04</v>
      </c>
      <c r="G6" s="9">
        <v>0.04</v>
      </c>
      <c r="H6" s="9">
        <v>3.5000000000000003E-2</v>
      </c>
      <c r="I6" s="9">
        <v>3.5000000000000003E-2</v>
      </c>
      <c r="J6" s="9">
        <v>3.5000000000000003E-2</v>
      </c>
      <c r="K6" s="9">
        <v>2.5000000000000001E-2</v>
      </c>
      <c r="L6" s="9">
        <v>2.5000000000000001E-2</v>
      </c>
      <c r="M6" s="9">
        <v>2.5000000000000001E-2</v>
      </c>
      <c r="N6" s="9">
        <v>0.02</v>
      </c>
      <c r="O6" s="9">
        <v>0.02</v>
      </c>
      <c r="P6" s="9">
        <v>0.02</v>
      </c>
      <c r="Q6" s="9">
        <v>0.02</v>
      </c>
      <c r="R6" s="9">
        <v>0.02</v>
      </c>
      <c r="S6" s="9">
        <v>0.02</v>
      </c>
      <c r="T6" s="9">
        <v>0.02</v>
      </c>
      <c r="U6" s="9">
        <v>0.02</v>
      </c>
      <c r="V6" s="9">
        <v>0.02</v>
      </c>
      <c r="W6" s="9">
        <v>0.02</v>
      </c>
      <c r="X6" s="2">
        <v>0.02</v>
      </c>
    </row>
    <row r="7" spans="1:24" x14ac:dyDescent="0.35">
      <c r="A7" t="s">
        <v>10</v>
      </c>
      <c r="B7" s="2"/>
      <c r="C7" s="2"/>
      <c r="D7" s="2"/>
      <c r="E7" s="2"/>
      <c r="F7" s="2"/>
      <c r="G7" s="2"/>
      <c r="H7" s="2"/>
      <c r="I7" s="2"/>
      <c r="J7" s="2"/>
      <c r="K7" s="2"/>
      <c r="L7" s="2"/>
      <c r="M7" s="2"/>
      <c r="N7" s="2"/>
      <c r="O7" s="2"/>
      <c r="P7" s="2"/>
      <c r="Q7" s="2"/>
      <c r="R7" s="2"/>
      <c r="S7" s="2"/>
    </row>
    <row r="8" spans="1:24" x14ac:dyDescent="0.35">
      <c r="A8" s="4">
        <v>0</v>
      </c>
      <c r="B8" s="6">
        <v>21.89</v>
      </c>
      <c r="C8" s="6">
        <v>21.89</v>
      </c>
      <c r="D8" s="6">
        <v>21.89</v>
      </c>
      <c r="E8" s="6">
        <v>24.6282</v>
      </c>
      <c r="F8" s="6">
        <v>24.6282</v>
      </c>
      <c r="G8" s="6">
        <v>24.6282</v>
      </c>
      <c r="H8" s="6">
        <v>27.62</v>
      </c>
      <c r="I8" s="6">
        <v>27.62</v>
      </c>
      <c r="J8" s="6">
        <v>27.62</v>
      </c>
      <c r="K8" s="6">
        <v>36.25909</v>
      </c>
      <c r="L8" s="6">
        <v>36.25909</v>
      </c>
      <c r="M8" s="6">
        <v>36.25909</v>
      </c>
      <c r="N8" s="6">
        <v>41.764330000000001</v>
      </c>
      <c r="O8" s="6">
        <v>41.764330000000001</v>
      </c>
      <c r="P8" s="6">
        <v>41.764330000000001</v>
      </c>
      <c r="Q8" s="6">
        <v>41.764330000000001</v>
      </c>
      <c r="R8" s="6">
        <v>42.087220000000002</v>
      </c>
      <c r="S8" s="6">
        <v>42.087220000000002</v>
      </c>
      <c r="T8" s="6">
        <v>42.096868105634002</v>
      </c>
      <c r="U8" s="6">
        <v>42.096868105634002</v>
      </c>
      <c r="V8" s="6">
        <v>42.096868105634002</v>
      </c>
      <c r="W8" s="6">
        <v>42.096868105634002</v>
      </c>
      <c r="X8" s="6">
        <v>42.096868105634002</v>
      </c>
    </row>
    <row r="9" spans="1:24" x14ac:dyDescent="0.35">
      <c r="A9" s="4">
        <v>1</v>
      </c>
      <c r="B9" s="6">
        <v>21.86</v>
      </c>
      <c r="C9" s="6">
        <v>21.86</v>
      </c>
      <c r="D9" s="6">
        <v>21.86</v>
      </c>
      <c r="E9" s="6">
        <v>24.595099999999999</v>
      </c>
      <c r="F9" s="6">
        <v>24.595099999999999</v>
      </c>
      <c r="G9" s="6">
        <v>24.595099999999999</v>
      </c>
      <c r="H9" s="6">
        <v>27.57</v>
      </c>
      <c r="I9" s="6">
        <v>27.57</v>
      </c>
      <c r="J9" s="6">
        <v>27.57</v>
      </c>
      <c r="K9" s="6">
        <v>36.20561</v>
      </c>
      <c r="L9" s="6">
        <v>36.20561</v>
      </c>
      <c r="M9" s="6">
        <v>36.20561</v>
      </c>
      <c r="N9" s="6">
        <v>41.676340000000003</v>
      </c>
      <c r="O9" s="6">
        <v>41.676340000000003</v>
      </c>
      <c r="P9" s="6">
        <v>41.676340000000003</v>
      </c>
      <c r="Q9" s="6">
        <v>41.676340000000003</v>
      </c>
      <c r="R9" s="6">
        <v>41.676340000000003</v>
      </c>
      <c r="S9" s="6">
        <v>41.972340000000003</v>
      </c>
      <c r="T9" s="6">
        <v>41.964083333856003</v>
      </c>
      <c r="U9" s="6">
        <v>41.964083333856003</v>
      </c>
      <c r="V9" s="6">
        <v>41.964083333856003</v>
      </c>
      <c r="W9" s="6">
        <v>41.964083333856003</v>
      </c>
      <c r="X9" s="6">
        <v>41.964083333856003</v>
      </c>
    </row>
    <row r="10" spans="1:24" x14ac:dyDescent="0.35">
      <c r="A10" s="4">
        <v>2</v>
      </c>
      <c r="B10" s="6">
        <v>21.82</v>
      </c>
      <c r="C10" s="6">
        <v>21.82</v>
      </c>
      <c r="D10" s="6">
        <v>21.82</v>
      </c>
      <c r="E10" s="6">
        <v>24.560700000000001</v>
      </c>
      <c r="F10" s="6">
        <v>24.560700000000001</v>
      </c>
      <c r="G10" s="6">
        <v>24.560700000000001</v>
      </c>
      <c r="H10" s="6">
        <v>27.52</v>
      </c>
      <c r="I10" s="6">
        <v>27.52</v>
      </c>
      <c r="J10" s="6">
        <v>27.52</v>
      </c>
      <c r="K10" s="6">
        <v>36.104109999999999</v>
      </c>
      <c r="L10" s="6">
        <v>36.104109999999999</v>
      </c>
      <c r="M10" s="6">
        <v>36.104109999999999</v>
      </c>
      <c r="N10" s="6">
        <v>41.510159999999999</v>
      </c>
      <c r="O10" s="6">
        <v>41.510159999999999</v>
      </c>
      <c r="P10" s="6">
        <v>41.510159999999999</v>
      </c>
      <c r="Q10" s="6">
        <v>41.510159999999999</v>
      </c>
      <c r="R10" s="6">
        <v>41.510159999999999</v>
      </c>
      <c r="S10" s="6">
        <v>41.510159999999999</v>
      </c>
      <c r="T10" s="6">
        <v>41.799235595515</v>
      </c>
      <c r="U10" s="6">
        <v>41.799235595515</v>
      </c>
      <c r="V10" s="6">
        <v>41.799235595515</v>
      </c>
      <c r="W10" s="6">
        <v>41.799235595515</v>
      </c>
      <c r="X10" s="6">
        <v>41.799235595515</v>
      </c>
    </row>
    <row r="11" spans="1:24" x14ac:dyDescent="0.35">
      <c r="A11" s="4">
        <v>3</v>
      </c>
      <c r="B11" s="6">
        <v>21.78</v>
      </c>
      <c r="C11" s="6">
        <v>21.78</v>
      </c>
      <c r="D11" s="6">
        <v>21.78</v>
      </c>
      <c r="E11" s="6">
        <v>24.524899999999999</v>
      </c>
      <c r="F11" s="6">
        <v>24.524899999999999</v>
      </c>
      <c r="G11" s="6">
        <v>24.524899999999999</v>
      </c>
      <c r="H11" s="6">
        <v>27.47</v>
      </c>
      <c r="I11" s="6">
        <v>27.47</v>
      </c>
      <c r="J11" s="6">
        <v>27.47</v>
      </c>
      <c r="K11" s="6">
        <v>36.002940000000002</v>
      </c>
      <c r="L11" s="6">
        <v>36.002940000000002</v>
      </c>
      <c r="M11" s="6">
        <v>36.002940000000002</v>
      </c>
      <c r="N11" s="6">
        <v>41.338360000000002</v>
      </c>
      <c r="O11" s="6">
        <v>41.338360000000002</v>
      </c>
      <c r="P11" s="6">
        <v>41.338360000000002</v>
      </c>
      <c r="Q11" s="6">
        <v>41.338360000000002</v>
      </c>
      <c r="R11" s="6">
        <v>41.338360000000002</v>
      </c>
      <c r="S11" s="6">
        <v>41.338360000000002</v>
      </c>
      <c r="T11" s="6">
        <v>41.400929343512999</v>
      </c>
      <c r="U11" s="6">
        <v>41.627845759548002</v>
      </c>
      <c r="V11" s="6">
        <v>41.627845759548002</v>
      </c>
      <c r="W11" s="6">
        <v>41.627845759548002</v>
      </c>
      <c r="X11" s="6">
        <v>41.627845759548002</v>
      </c>
    </row>
    <row r="12" spans="1:24" x14ac:dyDescent="0.35">
      <c r="A12" s="4">
        <v>4</v>
      </c>
      <c r="B12" s="6">
        <v>21.74</v>
      </c>
      <c r="C12" s="6">
        <v>21.74</v>
      </c>
      <c r="D12" s="6">
        <v>21.74</v>
      </c>
      <c r="E12" s="6">
        <v>24.4877</v>
      </c>
      <c r="F12" s="6">
        <v>24.4877</v>
      </c>
      <c r="G12" s="6">
        <v>24.4877</v>
      </c>
      <c r="H12" s="6">
        <v>27.41</v>
      </c>
      <c r="I12" s="6">
        <v>27.41</v>
      </c>
      <c r="J12" s="6">
        <v>27.41</v>
      </c>
      <c r="K12" s="6">
        <v>35.71387</v>
      </c>
      <c r="L12" s="6">
        <v>35.71387</v>
      </c>
      <c r="M12" s="6">
        <v>35.71387</v>
      </c>
      <c r="N12" s="6">
        <v>41.16104</v>
      </c>
      <c r="O12" s="6">
        <v>41.16104</v>
      </c>
      <c r="P12" s="6">
        <v>41.16104</v>
      </c>
      <c r="Q12" s="6">
        <v>41.16104</v>
      </c>
      <c r="R12" s="6">
        <v>41.16104</v>
      </c>
      <c r="S12" s="6">
        <v>41.16104</v>
      </c>
      <c r="T12" s="6">
        <v>41.221519902160999</v>
      </c>
      <c r="U12" s="6">
        <v>41.221519902160999</v>
      </c>
      <c r="V12" s="6">
        <v>41.451971675879001</v>
      </c>
      <c r="W12" s="6">
        <v>41.451971675879001</v>
      </c>
      <c r="X12" s="6">
        <v>41.451971675879001</v>
      </c>
    </row>
    <row r="13" spans="1:24" x14ac:dyDescent="0.35">
      <c r="A13" s="4">
        <v>5</v>
      </c>
      <c r="B13" s="6">
        <v>21.7</v>
      </c>
      <c r="C13" s="6">
        <v>21.7</v>
      </c>
      <c r="D13" s="6">
        <v>21.7</v>
      </c>
      <c r="E13" s="6">
        <v>24.449000000000002</v>
      </c>
      <c r="F13" s="6">
        <v>24.449000000000002</v>
      </c>
      <c r="G13" s="6">
        <v>24.449000000000002</v>
      </c>
      <c r="H13" s="6">
        <v>27.36</v>
      </c>
      <c r="I13" s="6">
        <v>27.36</v>
      </c>
      <c r="J13" s="6">
        <v>27.36</v>
      </c>
      <c r="K13" s="6">
        <v>35.599600000000002</v>
      </c>
      <c r="L13" s="6">
        <v>35.599600000000002</v>
      </c>
      <c r="M13" s="6">
        <v>35.599600000000002</v>
      </c>
      <c r="N13" s="6">
        <v>40.976909999999997</v>
      </c>
      <c r="O13" s="6">
        <v>40.976909999999997</v>
      </c>
      <c r="P13" s="6">
        <v>40.976909999999997</v>
      </c>
      <c r="Q13" s="6">
        <v>40.976909999999997</v>
      </c>
      <c r="R13" s="6">
        <v>40.976909999999997</v>
      </c>
      <c r="S13" s="6">
        <v>40.976909999999997</v>
      </c>
      <c r="T13" s="6">
        <v>41.037794949061002</v>
      </c>
      <c r="U13" s="6">
        <v>41.037794949061002</v>
      </c>
      <c r="V13" s="6">
        <v>41.037794949061002</v>
      </c>
      <c r="W13" s="6">
        <v>41.271993446635001</v>
      </c>
      <c r="X13" s="6">
        <v>41.271993446635001</v>
      </c>
    </row>
    <row r="14" spans="1:24" x14ac:dyDescent="0.35">
      <c r="A14" s="4">
        <v>6</v>
      </c>
      <c r="B14" s="6">
        <v>21.65</v>
      </c>
      <c r="C14" s="6">
        <v>21.65</v>
      </c>
      <c r="D14" s="6">
        <v>21.65</v>
      </c>
      <c r="E14" s="6">
        <v>24.408799999999999</v>
      </c>
      <c r="F14" s="6">
        <v>24.408799999999999</v>
      </c>
      <c r="G14" s="6">
        <v>24.408799999999999</v>
      </c>
      <c r="H14" s="6">
        <v>27.3</v>
      </c>
      <c r="I14" s="6">
        <v>27.3</v>
      </c>
      <c r="J14" s="6">
        <v>27.3</v>
      </c>
      <c r="K14" s="6">
        <v>35.484279999999998</v>
      </c>
      <c r="L14" s="6">
        <v>35.484279999999998</v>
      </c>
      <c r="M14" s="6">
        <v>35.484279999999998</v>
      </c>
      <c r="N14" s="6">
        <v>40.789279999999998</v>
      </c>
      <c r="O14" s="6">
        <v>40.789279999999998</v>
      </c>
      <c r="P14" s="6">
        <v>40.789279999999998</v>
      </c>
      <c r="Q14" s="6">
        <v>40.789279999999998</v>
      </c>
      <c r="R14" s="6">
        <v>40.789279999999998</v>
      </c>
      <c r="S14" s="6">
        <v>40.789279999999998</v>
      </c>
      <c r="T14" s="6">
        <v>40.850019617310998</v>
      </c>
      <c r="U14" s="6">
        <v>40.850019617310998</v>
      </c>
      <c r="V14" s="6">
        <v>40.850019617310998</v>
      </c>
      <c r="W14" s="6">
        <v>40.850019617310998</v>
      </c>
      <c r="X14" s="6">
        <v>41.088146284373003</v>
      </c>
    </row>
    <row r="15" spans="1:24" x14ac:dyDescent="0.35">
      <c r="A15" s="4">
        <v>7</v>
      </c>
      <c r="B15" s="6">
        <v>21.61</v>
      </c>
      <c r="C15" s="6">
        <v>21.61</v>
      </c>
      <c r="D15" s="6">
        <v>21.61</v>
      </c>
      <c r="E15" s="6">
        <v>24.366900000000001</v>
      </c>
      <c r="F15" s="6">
        <v>24.366900000000001</v>
      </c>
      <c r="G15" s="6">
        <v>24.366900000000001</v>
      </c>
      <c r="H15" s="6">
        <v>27.24</v>
      </c>
      <c r="I15" s="6">
        <v>27.24</v>
      </c>
      <c r="J15" s="6">
        <v>27.24</v>
      </c>
      <c r="K15" s="6">
        <v>35.366059999999997</v>
      </c>
      <c r="L15" s="6">
        <v>35.366059999999997</v>
      </c>
      <c r="M15" s="6">
        <v>35.366059999999997</v>
      </c>
      <c r="N15" s="6">
        <v>40.249160000000003</v>
      </c>
      <c r="O15" s="6">
        <v>40.249160000000003</v>
      </c>
      <c r="P15" s="6">
        <v>40.249160000000003</v>
      </c>
      <c r="Q15" s="6">
        <v>40.60154</v>
      </c>
      <c r="R15" s="6">
        <v>40.60154</v>
      </c>
      <c r="S15" s="6">
        <v>40.60154</v>
      </c>
      <c r="T15" s="6">
        <v>40.658284621961997</v>
      </c>
      <c r="U15" s="6">
        <v>40.658284621961997</v>
      </c>
      <c r="V15" s="6">
        <v>40.658284621961997</v>
      </c>
      <c r="W15" s="6">
        <v>40.658284621961997</v>
      </c>
      <c r="X15" s="6">
        <v>40.658284621961997</v>
      </c>
    </row>
    <row r="16" spans="1:24" x14ac:dyDescent="0.35">
      <c r="A16" s="4">
        <v>8</v>
      </c>
      <c r="B16" s="6">
        <v>21.56</v>
      </c>
      <c r="C16" s="6">
        <v>21.56</v>
      </c>
      <c r="D16" s="6">
        <v>21.56</v>
      </c>
      <c r="E16" s="6">
        <v>24.258099999999999</v>
      </c>
      <c r="F16" s="6">
        <v>24.258099999999999</v>
      </c>
      <c r="G16" s="6">
        <v>24.258099999999999</v>
      </c>
      <c r="H16" s="6">
        <v>27.17</v>
      </c>
      <c r="I16" s="6">
        <v>27.17</v>
      </c>
      <c r="J16" s="6">
        <v>27.17</v>
      </c>
      <c r="K16" s="6">
        <v>35.241590000000002</v>
      </c>
      <c r="L16" s="6">
        <v>35.241590000000002</v>
      </c>
      <c r="M16" s="6">
        <v>35.241590000000002</v>
      </c>
      <c r="N16" s="6">
        <v>40.047449999999998</v>
      </c>
      <c r="O16" s="6">
        <v>40.047449999999998</v>
      </c>
      <c r="P16" s="6">
        <v>40.047449999999998</v>
      </c>
      <c r="Q16" s="6">
        <v>40.409520000000001</v>
      </c>
      <c r="R16" s="6">
        <v>40.409520000000001</v>
      </c>
      <c r="S16" s="6">
        <v>40.409520000000001</v>
      </c>
      <c r="T16" s="6">
        <v>40.462531548588998</v>
      </c>
      <c r="U16" s="6">
        <v>40.462531548588998</v>
      </c>
      <c r="V16" s="6">
        <v>40.462531548588998</v>
      </c>
      <c r="W16" s="6">
        <v>40.462531548588998</v>
      </c>
      <c r="X16" s="6">
        <v>40.462531548588998</v>
      </c>
    </row>
    <row r="17" spans="1:24" x14ac:dyDescent="0.35">
      <c r="A17" s="4">
        <v>9</v>
      </c>
      <c r="B17" s="6">
        <v>21.51</v>
      </c>
      <c r="C17" s="6">
        <v>21.51</v>
      </c>
      <c r="D17" s="6">
        <v>21.51</v>
      </c>
      <c r="E17" s="6">
        <v>24.2102</v>
      </c>
      <c r="F17" s="6">
        <v>24.2102</v>
      </c>
      <c r="G17" s="6">
        <v>24.2102</v>
      </c>
      <c r="H17" s="6">
        <v>27.11</v>
      </c>
      <c r="I17" s="6">
        <v>27.11</v>
      </c>
      <c r="J17" s="6">
        <v>27.11</v>
      </c>
      <c r="K17" s="6">
        <v>35.117489999999997</v>
      </c>
      <c r="L17" s="6">
        <v>35.117489999999997</v>
      </c>
      <c r="M17" s="6">
        <v>35.117489999999997</v>
      </c>
      <c r="N17" s="6">
        <v>39.840989999999998</v>
      </c>
      <c r="O17" s="6">
        <v>39.840989999999998</v>
      </c>
      <c r="P17" s="6">
        <v>39.840989999999998</v>
      </c>
      <c r="Q17" s="6">
        <v>40.2117</v>
      </c>
      <c r="R17" s="6">
        <v>40.2117</v>
      </c>
      <c r="S17" s="6">
        <v>40.2117</v>
      </c>
      <c r="T17" s="6">
        <v>40.262722450658003</v>
      </c>
      <c r="U17" s="6">
        <v>40.262722450658003</v>
      </c>
      <c r="V17" s="6">
        <v>40.262722450658003</v>
      </c>
      <c r="W17" s="6">
        <v>40.262722450658003</v>
      </c>
      <c r="X17" s="6">
        <v>40.262722450658003</v>
      </c>
    </row>
    <row r="18" spans="1:24" x14ac:dyDescent="0.35">
      <c r="A18" s="4">
        <v>10</v>
      </c>
      <c r="B18" s="6">
        <v>21.46</v>
      </c>
      <c r="C18" s="6">
        <v>21.46</v>
      </c>
      <c r="D18" s="6">
        <v>21.46</v>
      </c>
      <c r="E18" s="6">
        <v>24.160399999999999</v>
      </c>
      <c r="F18" s="6">
        <v>24.160399999999999</v>
      </c>
      <c r="G18" s="6">
        <v>24.160399999999999</v>
      </c>
      <c r="H18" s="6">
        <v>27.04</v>
      </c>
      <c r="I18" s="6">
        <v>27.04</v>
      </c>
      <c r="J18" s="6">
        <v>27.04</v>
      </c>
      <c r="K18" s="6">
        <v>34.990189999999998</v>
      </c>
      <c r="L18" s="6">
        <v>34.990189999999998</v>
      </c>
      <c r="M18" s="6">
        <v>34.990189999999998</v>
      </c>
      <c r="N18" s="6">
        <v>39.634230000000002</v>
      </c>
      <c r="O18" s="6">
        <v>39.634230000000002</v>
      </c>
      <c r="P18" s="6">
        <v>39.634230000000002</v>
      </c>
      <c r="Q18" s="6">
        <v>39.634230000000002</v>
      </c>
      <c r="R18" s="6">
        <v>40.011139999999997</v>
      </c>
      <c r="S18" s="6">
        <v>40.011139999999997</v>
      </c>
      <c r="T18" s="6">
        <v>40.058813027938001</v>
      </c>
      <c r="U18" s="6">
        <v>40.058813027938001</v>
      </c>
      <c r="V18" s="6">
        <v>40.058813027938001</v>
      </c>
      <c r="W18" s="6">
        <v>40.058813027938001</v>
      </c>
      <c r="X18" s="6">
        <v>40.058813027938001</v>
      </c>
    </row>
    <row r="19" spans="1:24" x14ac:dyDescent="0.35">
      <c r="A19" s="4">
        <v>11</v>
      </c>
      <c r="B19" s="6">
        <v>21.4</v>
      </c>
      <c r="C19" s="6">
        <v>21.4</v>
      </c>
      <c r="D19" s="6">
        <v>21.4</v>
      </c>
      <c r="E19" s="6">
        <v>24.108699999999999</v>
      </c>
      <c r="F19" s="6">
        <v>24.108699999999999</v>
      </c>
      <c r="G19" s="6">
        <v>24.108699999999999</v>
      </c>
      <c r="H19" s="6">
        <v>26.87</v>
      </c>
      <c r="I19" s="6">
        <v>26.87</v>
      </c>
      <c r="J19" s="6">
        <v>26.87</v>
      </c>
      <c r="K19" s="6">
        <v>34.856020000000001</v>
      </c>
      <c r="L19" s="6">
        <v>34.856020000000001</v>
      </c>
      <c r="M19" s="6">
        <v>34.856020000000001</v>
      </c>
      <c r="N19" s="6">
        <v>39.422280000000001</v>
      </c>
      <c r="O19" s="6">
        <v>39.422280000000001</v>
      </c>
      <c r="P19" s="6">
        <v>39.422280000000001</v>
      </c>
      <c r="Q19" s="6">
        <v>39.422280000000001</v>
      </c>
      <c r="R19" s="6">
        <v>39.422280000000001</v>
      </c>
      <c r="S19" s="6">
        <v>39.804810000000003</v>
      </c>
      <c r="T19" s="6">
        <v>39.850932718643001</v>
      </c>
      <c r="U19" s="6">
        <v>39.850932718643001</v>
      </c>
      <c r="V19" s="6">
        <v>39.850932718643001</v>
      </c>
      <c r="W19" s="6">
        <v>39.850932718643001</v>
      </c>
      <c r="X19" s="6">
        <v>39.850932718643001</v>
      </c>
    </row>
    <row r="20" spans="1:24" x14ac:dyDescent="0.35">
      <c r="A20" s="4">
        <v>12</v>
      </c>
      <c r="B20" s="6">
        <v>21.34</v>
      </c>
      <c r="C20" s="6">
        <v>21.34</v>
      </c>
      <c r="D20" s="6">
        <v>21.34</v>
      </c>
      <c r="E20" s="6">
        <v>24.0548</v>
      </c>
      <c r="F20" s="6">
        <v>24.0548</v>
      </c>
      <c r="G20" s="6">
        <v>24.0548</v>
      </c>
      <c r="H20" s="6">
        <v>26.79</v>
      </c>
      <c r="I20" s="6">
        <v>26.79</v>
      </c>
      <c r="J20" s="6">
        <v>26.79</v>
      </c>
      <c r="K20" s="6">
        <v>34.719009999999997</v>
      </c>
      <c r="L20" s="6">
        <v>34.719009999999997</v>
      </c>
      <c r="M20" s="6">
        <v>34.719009999999997</v>
      </c>
      <c r="N20" s="6">
        <v>39.203400000000002</v>
      </c>
      <c r="O20" s="6">
        <v>39.203400000000002</v>
      </c>
      <c r="P20" s="6">
        <v>39.203400000000002</v>
      </c>
      <c r="Q20" s="6">
        <v>39.203400000000002</v>
      </c>
      <c r="R20" s="6">
        <v>39.203400000000002</v>
      </c>
      <c r="S20" s="6">
        <v>39.203400000000002</v>
      </c>
      <c r="T20" s="6">
        <v>39.63931519714</v>
      </c>
      <c r="U20" s="6">
        <v>39.63931519714</v>
      </c>
      <c r="V20" s="6">
        <v>39.63931519714</v>
      </c>
      <c r="W20" s="6">
        <v>39.63931519714</v>
      </c>
      <c r="X20" s="6">
        <v>39.63931519714</v>
      </c>
    </row>
    <row r="21" spans="1:24" x14ac:dyDescent="0.35">
      <c r="A21" s="4">
        <v>13</v>
      </c>
      <c r="B21" s="6">
        <v>21.28</v>
      </c>
      <c r="C21" s="6">
        <v>21.28</v>
      </c>
      <c r="D21" s="6">
        <v>21.28</v>
      </c>
      <c r="E21" s="6">
        <v>23.998799999999999</v>
      </c>
      <c r="F21" s="6">
        <v>23.998799999999999</v>
      </c>
      <c r="G21" s="6">
        <v>23.998799999999999</v>
      </c>
      <c r="H21" s="6">
        <v>26.72</v>
      </c>
      <c r="I21" s="6">
        <v>26.72</v>
      </c>
      <c r="J21" s="6">
        <v>26.72</v>
      </c>
      <c r="K21" s="6">
        <v>34.5807</v>
      </c>
      <c r="L21" s="6">
        <v>34.5807</v>
      </c>
      <c r="M21" s="6">
        <v>34.5807</v>
      </c>
      <c r="N21" s="6">
        <v>38.98236</v>
      </c>
      <c r="O21" s="6">
        <v>38.98236</v>
      </c>
      <c r="P21" s="6">
        <v>38.98236</v>
      </c>
      <c r="Q21" s="6">
        <v>38.98236</v>
      </c>
      <c r="R21" s="6">
        <v>38.98236</v>
      </c>
      <c r="S21" s="6">
        <v>38.98236</v>
      </c>
      <c r="T21" s="6">
        <v>39.118689490446997</v>
      </c>
      <c r="U21" s="6">
        <v>39.424055572362001</v>
      </c>
      <c r="V21" s="6">
        <v>39.424055572362001</v>
      </c>
      <c r="W21" s="6">
        <v>39.424055572362001</v>
      </c>
      <c r="X21" s="6">
        <v>39.424055572362001</v>
      </c>
    </row>
    <row r="22" spans="1:24" x14ac:dyDescent="0.35">
      <c r="A22" s="4">
        <v>14</v>
      </c>
      <c r="B22" s="6">
        <v>21.22</v>
      </c>
      <c r="C22" s="6">
        <v>21.22</v>
      </c>
      <c r="D22" s="6">
        <v>21.22</v>
      </c>
      <c r="E22" s="6">
        <v>23.9405</v>
      </c>
      <c r="F22" s="6">
        <v>23.9405</v>
      </c>
      <c r="G22" s="6">
        <v>23.9405</v>
      </c>
      <c r="H22" s="6">
        <v>26.64</v>
      </c>
      <c r="I22" s="6">
        <v>26.64</v>
      </c>
      <c r="J22" s="6">
        <v>26.64</v>
      </c>
      <c r="K22" s="6">
        <v>34.184890000000003</v>
      </c>
      <c r="L22" s="6">
        <v>34.184890000000003</v>
      </c>
      <c r="M22" s="6">
        <v>34.184890000000003</v>
      </c>
      <c r="N22" s="6">
        <v>38.757199999999997</v>
      </c>
      <c r="O22" s="6">
        <v>38.757199999999997</v>
      </c>
      <c r="P22" s="6">
        <v>38.757199999999997</v>
      </c>
      <c r="Q22" s="6">
        <v>38.757199999999997</v>
      </c>
      <c r="R22" s="6">
        <v>38.757199999999997</v>
      </c>
      <c r="S22" s="6">
        <v>38.757199999999997</v>
      </c>
      <c r="T22" s="6">
        <v>38.894764165935001</v>
      </c>
      <c r="U22" s="6">
        <v>38.894764165935001</v>
      </c>
      <c r="V22" s="6">
        <v>39.205348026187004</v>
      </c>
      <c r="W22" s="6">
        <v>39.205348026187004</v>
      </c>
      <c r="X22" s="6">
        <v>39.205348026187004</v>
      </c>
    </row>
    <row r="23" spans="1:24" x14ac:dyDescent="0.35">
      <c r="A23" s="4">
        <v>15</v>
      </c>
      <c r="B23" s="6">
        <v>21.16</v>
      </c>
      <c r="C23" s="6">
        <v>21.16</v>
      </c>
      <c r="D23" s="6">
        <v>21.16</v>
      </c>
      <c r="E23" s="6">
        <v>23.881399999999999</v>
      </c>
      <c r="F23" s="6">
        <v>23.881399999999999</v>
      </c>
      <c r="G23" s="6">
        <v>23.881399999999999</v>
      </c>
      <c r="H23" s="6">
        <v>26.55</v>
      </c>
      <c r="I23" s="6">
        <v>26.55</v>
      </c>
      <c r="J23" s="6">
        <v>26.55</v>
      </c>
      <c r="K23" s="6">
        <v>34.035299999999999</v>
      </c>
      <c r="L23" s="6">
        <v>34.035299999999999</v>
      </c>
      <c r="M23" s="6">
        <v>34.035299999999999</v>
      </c>
      <c r="N23" s="6">
        <v>38.527369999999998</v>
      </c>
      <c r="O23" s="6">
        <v>38.527369999999998</v>
      </c>
      <c r="P23" s="6">
        <v>38.527369999999998</v>
      </c>
      <c r="Q23" s="6">
        <v>38.527369999999998</v>
      </c>
      <c r="R23" s="6">
        <v>38.527369999999998</v>
      </c>
      <c r="S23" s="6">
        <v>38.527369999999998</v>
      </c>
      <c r="T23" s="6">
        <v>38.668005273174003</v>
      </c>
      <c r="U23" s="6">
        <v>38.668005273174003</v>
      </c>
      <c r="V23" s="6">
        <v>38.668005273174003</v>
      </c>
      <c r="W23" s="6">
        <v>38.983526740903997</v>
      </c>
      <c r="X23" s="6">
        <v>38.983526740903997</v>
      </c>
    </row>
    <row r="24" spans="1:24" x14ac:dyDescent="0.35">
      <c r="A24" s="4">
        <v>16</v>
      </c>
      <c r="B24" s="6">
        <v>21.09</v>
      </c>
      <c r="C24" s="6">
        <v>21.09</v>
      </c>
      <c r="D24" s="6">
        <v>21.09</v>
      </c>
      <c r="E24" s="6">
        <v>23.8215</v>
      </c>
      <c r="F24" s="6">
        <v>23.8215</v>
      </c>
      <c r="G24" s="6">
        <v>23.8215</v>
      </c>
      <c r="H24" s="6">
        <v>26.47</v>
      </c>
      <c r="I24" s="6">
        <v>26.47</v>
      </c>
      <c r="J24" s="6">
        <v>26.47</v>
      </c>
      <c r="K24" s="6">
        <v>33.886099999999999</v>
      </c>
      <c r="L24" s="6">
        <v>33.886099999999999</v>
      </c>
      <c r="M24" s="6">
        <v>33.886099999999999</v>
      </c>
      <c r="N24" s="6">
        <v>38.29954</v>
      </c>
      <c r="O24" s="6">
        <v>38.29954</v>
      </c>
      <c r="P24" s="6">
        <v>38.29954</v>
      </c>
      <c r="Q24" s="6">
        <v>38.29954</v>
      </c>
      <c r="R24" s="6">
        <v>38.29954</v>
      </c>
      <c r="S24" s="6">
        <v>38.29954</v>
      </c>
      <c r="T24" s="6">
        <v>38.438859807478998</v>
      </c>
      <c r="U24" s="6">
        <v>38.438859807478998</v>
      </c>
      <c r="V24" s="6">
        <v>38.438859807478998</v>
      </c>
      <c r="W24" s="6">
        <v>38.438859807478998</v>
      </c>
      <c r="X24" s="6">
        <v>38.759003126072997</v>
      </c>
    </row>
    <row r="25" spans="1:24" x14ac:dyDescent="0.35">
      <c r="A25" s="4">
        <v>17</v>
      </c>
      <c r="B25" s="6">
        <v>21.02</v>
      </c>
      <c r="C25" s="6">
        <v>21.02</v>
      </c>
      <c r="D25" s="6">
        <v>21.02</v>
      </c>
      <c r="E25" s="6">
        <v>23.7593</v>
      </c>
      <c r="F25" s="6">
        <v>23.7593</v>
      </c>
      <c r="G25" s="6">
        <v>23.7593</v>
      </c>
      <c r="H25" s="6">
        <v>26.38</v>
      </c>
      <c r="I25" s="6">
        <v>26.38</v>
      </c>
      <c r="J25" s="6">
        <v>26.38</v>
      </c>
      <c r="K25" s="6">
        <v>33.736150000000002</v>
      </c>
      <c r="L25" s="6">
        <v>33.736150000000002</v>
      </c>
      <c r="M25" s="6">
        <v>33.736150000000002</v>
      </c>
      <c r="N25" s="6">
        <v>37.623860000000001</v>
      </c>
      <c r="O25" s="6">
        <v>37.623860000000001</v>
      </c>
      <c r="P25" s="6">
        <v>37.623860000000001</v>
      </c>
      <c r="Q25" s="6">
        <v>38.070329999999998</v>
      </c>
      <c r="R25" s="6">
        <v>38.070329999999998</v>
      </c>
      <c r="S25" s="6">
        <v>38.070329999999998</v>
      </c>
      <c r="T25" s="6">
        <v>38.207911040852998</v>
      </c>
      <c r="U25" s="6">
        <v>38.207911040852998</v>
      </c>
      <c r="V25" s="6">
        <v>38.207911040852998</v>
      </c>
      <c r="W25" s="6">
        <v>38.207911040852998</v>
      </c>
      <c r="X25" s="6">
        <v>38.207911040852998</v>
      </c>
    </row>
    <row r="26" spans="1:24" x14ac:dyDescent="0.35">
      <c r="A26" s="4">
        <v>18</v>
      </c>
      <c r="B26" s="6">
        <v>20.94</v>
      </c>
      <c r="C26" s="6">
        <v>20.94</v>
      </c>
      <c r="D26" s="6">
        <v>20.94</v>
      </c>
      <c r="E26" s="6">
        <v>23.5992</v>
      </c>
      <c r="F26" s="6">
        <v>23.5992</v>
      </c>
      <c r="G26" s="6">
        <v>23.5992</v>
      </c>
      <c r="H26" s="6">
        <v>26.3</v>
      </c>
      <c r="I26" s="6">
        <v>26.3</v>
      </c>
      <c r="J26" s="6">
        <v>26.3</v>
      </c>
      <c r="K26" s="6">
        <v>33.582169999999998</v>
      </c>
      <c r="L26" s="6">
        <v>33.582169999999998</v>
      </c>
      <c r="M26" s="6">
        <v>33.582169999999998</v>
      </c>
      <c r="N26" s="6">
        <v>37.377600000000001</v>
      </c>
      <c r="O26" s="6">
        <v>37.377600000000001</v>
      </c>
      <c r="P26" s="6">
        <v>37.377600000000001</v>
      </c>
      <c r="Q26" s="6">
        <v>37.841389999999997</v>
      </c>
      <c r="R26" s="6">
        <v>37.841389999999997</v>
      </c>
      <c r="S26" s="6">
        <v>37.841389999999997</v>
      </c>
      <c r="T26" s="6">
        <v>37.976163341964003</v>
      </c>
      <c r="U26" s="6">
        <v>37.976163341964003</v>
      </c>
      <c r="V26" s="6">
        <v>37.976163341964003</v>
      </c>
      <c r="W26" s="6">
        <v>37.976163341964003</v>
      </c>
      <c r="X26" s="6">
        <v>37.976163341964003</v>
      </c>
    </row>
    <row r="27" spans="1:24" x14ac:dyDescent="0.35">
      <c r="A27" s="4">
        <v>19</v>
      </c>
      <c r="B27" s="6">
        <v>20.87</v>
      </c>
      <c r="C27" s="6">
        <v>20.87</v>
      </c>
      <c r="D27" s="6">
        <v>20.87</v>
      </c>
      <c r="E27" s="6">
        <v>23.529</v>
      </c>
      <c r="F27" s="6">
        <v>23.529</v>
      </c>
      <c r="G27" s="6">
        <v>23.529</v>
      </c>
      <c r="H27" s="6">
        <v>26.2</v>
      </c>
      <c r="I27" s="6">
        <v>26.2</v>
      </c>
      <c r="J27" s="6">
        <v>26.2</v>
      </c>
      <c r="K27" s="6">
        <v>33.423679999999997</v>
      </c>
      <c r="L27" s="6">
        <v>33.423679999999997</v>
      </c>
      <c r="M27" s="6">
        <v>33.423679999999997</v>
      </c>
      <c r="N27" s="6">
        <v>37.128329999999998</v>
      </c>
      <c r="O27" s="6">
        <v>37.128329999999998</v>
      </c>
      <c r="P27" s="6">
        <v>37.128329999999998</v>
      </c>
      <c r="Q27" s="6">
        <v>37.612200000000001</v>
      </c>
      <c r="R27" s="6">
        <v>37.612200000000001</v>
      </c>
      <c r="S27" s="6">
        <v>37.612200000000001</v>
      </c>
      <c r="T27" s="6">
        <v>37.743275501612999</v>
      </c>
      <c r="U27" s="6">
        <v>37.743275501612999</v>
      </c>
      <c r="V27" s="6">
        <v>37.743275501612999</v>
      </c>
      <c r="W27" s="6">
        <v>37.743275501612999</v>
      </c>
      <c r="X27" s="6">
        <v>37.743275501612999</v>
      </c>
    </row>
    <row r="28" spans="1:24" x14ac:dyDescent="0.35">
      <c r="A28" s="4">
        <v>20</v>
      </c>
      <c r="B28" s="6">
        <v>20.79</v>
      </c>
      <c r="C28" s="6">
        <v>20.79</v>
      </c>
      <c r="D28" s="6">
        <v>20.79</v>
      </c>
      <c r="E28" s="6">
        <v>23.456199999999999</v>
      </c>
      <c r="F28" s="6">
        <v>23.456199999999999</v>
      </c>
      <c r="G28" s="6">
        <v>23.456199999999999</v>
      </c>
      <c r="H28" s="6">
        <v>26.11</v>
      </c>
      <c r="I28" s="6">
        <v>26.11</v>
      </c>
      <c r="J28" s="6">
        <v>26.11</v>
      </c>
      <c r="K28" s="6">
        <v>33.267040000000001</v>
      </c>
      <c r="L28" s="6">
        <v>33.267040000000001</v>
      </c>
      <c r="M28" s="6">
        <v>33.267040000000001</v>
      </c>
      <c r="N28" s="6">
        <v>36.884970000000003</v>
      </c>
      <c r="O28" s="6">
        <v>36.884970000000003</v>
      </c>
      <c r="P28" s="6">
        <v>36.884970000000003</v>
      </c>
      <c r="Q28" s="6">
        <v>36.884970000000003</v>
      </c>
      <c r="R28" s="6">
        <v>37.380310000000001</v>
      </c>
      <c r="S28" s="6">
        <v>37.380310000000001</v>
      </c>
      <c r="T28" s="6">
        <v>37.507799880899</v>
      </c>
      <c r="U28" s="6">
        <v>37.507799880899</v>
      </c>
      <c r="V28" s="6">
        <v>37.507799880899</v>
      </c>
      <c r="W28" s="6">
        <v>37.507799880899</v>
      </c>
      <c r="X28" s="6">
        <v>37.507799880899</v>
      </c>
    </row>
    <row r="29" spans="1:24" x14ac:dyDescent="0.35">
      <c r="A29" s="4">
        <v>21</v>
      </c>
      <c r="B29" s="6">
        <v>20.7</v>
      </c>
      <c r="C29" s="6">
        <v>20.7</v>
      </c>
      <c r="D29" s="6">
        <v>20.7</v>
      </c>
      <c r="E29" s="6">
        <v>23.380700000000001</v>
      </c>
      <c r="F29" s="6">
        <v>23.380700000000001</v>
      </c>
      <c r="G29" s="6">
        <v>23.380700000000001</v>
      </c>
      <c r="H29" s="6">
        <v>25.87</v>
      </c>
      <c r="I29" s="6">
        <v>25.87</v>
      </c>
      <c r="J29" s="6">
        <v>25.87</v>
      </c>
      <c r="K29" s="6">
        <v>33.108440000000002</v>
      </c>
      <c r="L29" s="6">
        <v>33.108440000000002</v>
      </c>
      <c r="M29" s="6">
        <v>33.108440000000002</v>
      </c>
      <c r="N29" s="6">
        <v>36.642989999999998</v>
      </c>
      <c r="O29" s="6">
        <v>36.642989999999998</v>
      </c>
      <c r="P29" s="6">
        <v>36.642989999999998</v>
      </c>
      <c r="Q29" s="6">
        <v>36.642989999999998</v>
      </c>
      <c r="R29" s="6">
        <v>36.642989999999998</v>
      </c>
      <c r="S29" s="6">
        <v>37.144599999999997</v>
      </c>
      <c r="T29" s="6">
        <v>37.268233570795999</v>
      </c>
      <c r="U29" s="6">
        <v>37.268233570795999</v>
      </c>
      <c r="V29" s="6">
        <v>37.268233570795999</v>
      </c>
      <c r="W29" s="6">
        <v>37.268233570795999</v>
      </c>
      <c r="X29" s="6">
        <v>37.268233570795999</v>
      </c>
    </row>
    <row r="30" spans="1:24" x14ac:dyDescent="0.35">
      <c r="A30" s="4">
        <v>22</v>
      </c>
      <c r="B30" s="6">
        <v>20.62</v>
      </c>
      <c r="C30" s="6">
        <v>20.62</v>
      </c>
      <c r="D30" s="6">
        <v>20.62</v>
      </c>
      <c r="E30" s="6">
        <v>23.302399999999999</v>
      </c>
      <c r="F30" s="6">
        <v>23.302399999999999</v>
      </c>
      <c r="G30" s="6">
        <v>23.302399999999999</v>
      </c>
      <c r="H30" s="6">
        <v>25.77</v>
      </c>
      <c r="I30" s="6">
        <v>25.77</v>
      </c>
      <c r="J30" s="6">
        <v>25.77</v>
      </c>
      <c r="K30" s="6">
        <v>32.942830000000001</v>
      </c>
      <c r="L30" s="6">
        <v>32.942830000000001</v>
      </c>
      <c r="M30" s="6">
        <v>32.942830000000001</v>
      </c>
      <c r="N30" s="6">
        <v>36.392240000000001</v>
      </c>
      <c r="O30" s="6">
        <v>36.392240000000001</v>
      </c>
      <c r="P30" s="6">
        <v>36.392240000000001</v>
      </c>
      <c r="Q30" s="6">
        <v>36.392240000000001</v>
      </c>
      <c r="R30" s="6">
        <v>36.392240000000001</v>
      </c>
      <c r="S30" s="6">
        <v>36.392240000000001</v>
      </c>
      <c r="T30" s="6">
        <v>37.023481618683</v>
      </c>
      <c r="U30" s="6">
        <v>37.023481618683</v>
      </c>
      <c r="V30" s="6">
        <v>37.023481618683</v>
      </c>
      <c r="W30" s="6">
        <v>37.023481618683</v>
      </c>
      <c r="X30" s="6">
        <v>37.023481618683</v>
      </c>
    </row>
    <row r="31" spans="1:24" x14ac:dyDescent="0.35">
      <c r="A31" s="4">
        <v>23</v>
      </c>
      <c r="B31" s="6">
        <v>20.53</v>
      </c>
      <c r="C31" s="6">
        <v>20.53</v>
      </c>
      <c r="D31" s="6">
        <v>20.53</v>
      </c>
      <c r="E31" s="6">
        <v>23.2212</v>
      </c>
      <c r="F31" s="6">
        <v>23.2212</v>
      </c>
      <c r="G31" s="6">
        <v>23.2212</v>
      </c>
      <c r="H31" s="6">
        <v>25.66</v>
      </c>
      <c r="I31" s="6">
        <v>25.66</v>
      </c>
      <c r="J31" s="6">
        <v>25.66</v>
      </c>
      <c r="K31" s="6">
        <v>32.769300000000001</v>
      </c>
      <c r="L31" s="6">
        <v>32.769300000000001</v>
      </c>
      <c r="M31" s="6">
        <v>32.769300000000001</v>
      </c>
      <c r="N31" s="6">
        <v>36.13897</v>
      </c>
      <c r="O31" s="6">
        <v>36.13897</v>
      </c>
      <c r="P31" s="6">
        <v>36.13897</v>
      </c>
      <c r="Q31" s="6">
        <v>36.13897</v>
      </c>
      <c r="R31" s="6">
        <v>36.13897</v>
      </c>
      <c r="S31" s="6">
        <v>36.13897</v>
      </c>
      <c r="T31" s="6">
        <v>36.377369082831002</v>
      </c>
      <c r="U31" s="6">
        <v>36.773412411599999</v>
      </c>
      <c r="V31" s="6">
        <v>36.773412411599999</v>
      </c>
      <c r="W31" s="6">
        <v>36.773412411599999</v>
      </c>
      <c r="X31" s="6">
        <v>36.773412411599999</v>
      </c>
    </row>
    <row r="32" spans="1:24" x14ac:dyDescent="0.35">
      <c r="A32" s="4">
        <v>24</v>
      </c>
      <c r="B32" s="6">
        <v>20.440000000000001</v>
      </c>
      <c r="C32" s="6">
        <v>20.440000000000001</v>
      </c>
      <c r="D32" s="6">
        <v>20.440000000000001</v>
      </c>
      <c r="E32" s="6">
        <v>23.137</v>
      </c>
      <c r="F32" s="6">
        <v>23.137</v>
      </c>
      <c r="G32" s="6">
        <v>23.137</v>
      </c>
      <c r="H32" s="6">
        <v>25.55</v>
      </c>
      <c r="I32" s="6">
        <v>25.55</v>
      </c>
      <c r="J32" s="6">
        <v>25.55</v>
      </c>
      <c r="K32" s="6">
        <v>32.243130000000001</v>
      </c>
      <c r="L32" s="6">
        <v>32.243130000000001</v>
      </c>
      <c r="M32" s="6">
        <v>32.243130000000001</v>
      </c>
      <c r="N32" s="6">
        <v>35.883929999999999</v>
      </c>
      <c r="O32" s="6">
        <v>35.883929999999999</v>
      </c>
      <c r="P32" s="6">
        <v>35.883929999999999</v>
      </c>
      <c r="Q32" s="6">
        <v>35.883929999999999</v>
      </c>
      <c r="R32" s="6">
        <v>35.883929999999999</v>
      </c>
      <c r="S32" s="6">
        <v>35.883929999999999</v>
      </c>
      <c r="T32" s="6">
        <v>36.115140401738003</v>
      </c>
      <c r="U32" s="6">
        <v>36.115140401738003</v>
      </c>
      <c r="V32" s="6">
        <v>36.518184056157999</v>
      </c>
      <c r="W32" s="6">
        <v>36.518184056157999</v>
      </c>
      <c r="X32" s="6">
        <v>36.518184056157999</v>
      </c>
    </row>
    <row r="33" spans="1:24" x14ac:dyDescent="0.35">
      <c r="A33" s="4">
        <v>25</v>
      </c>
      <c r="B33" s="6">
        <v>20.34</v>
      </c>
      <c r="C33" s="6">
        <v>20.34</v>
      </c>
      <c r="D33" s="6">
        <v>20.34</v>
      </c>
      <c r="E33" s="6">
        <v>23.049600000000002</v>
      </c>
      <c r="F33" s="6">
        <v>23.049600000000002</v>
      </c>
      <c r="G33" s="6">
        <v>23.049600000000002</v>
      </c>
      <c r="H33" s="6">
        <v>25.43</v>
      </c>
      <c r="I33" s="6">
        <v>25.43</v>
      </c>
      <c r="J33" s="6">
        <v>25.43</v>
      </c>
      <c r="K33" s="6">
        <v>32.056600000000003</v>
      </c>
      <c r="L33" s="6">
        <v>32.056600000000003</v>
      </c>
      <c r="M33" s="6">
        <v>32.056600000000003</v>
      </c>
      <c r="N33" s="6">
        <v>35.63111</v>
      </c>
      <c r="O33" s="6">
        <v>35.63111</v>
      </c>
      <c r="P33" s="6">
        <v>35.63111</v>
      </c>
      <c r="Q33" s="6">
        <v>35.63111</v>
      </c>
      <c r="R33" s="6">
        <v>35.63111</v>
      </c>
      <c r="S33" s="6">
        <v>35.63111</v>
      </c>
      <c r="T33" s="6">
        <v>35.848874081658003</v>
      </c>
      <c r="U33" s="6">
        <v>35.848874081658003</v>
      </c>
      <c r="V33" s="6">
        <v>35.848874081658003</v>
      </c>
      <c r="W33" s="6">
        <v>36.257949636059998</v>
      </c>
      <c r="X33" s="6">
        <v>36.257949636059998</v>
      </c>
    </row>
    <row r="34" spans="1:24" x14ac:dyDescent="0.35">
      <c r="A34" s="4">
        <v>26</v>
      </c>
      <c r="B34" s="6">
        <v>20.239999999999998</v>
      </c>
      <c r="C34" s="6">
        <v>20.239999999999998</v>
      </c>
      <c r="D34" s="6">
        <v>20.239999999999998</v>
      </c>
      <c r="E34" s="6">
        <v>22.959</v>
      </c>
      <c r="F34" s="6">
        <v>22.959</v>
      </c>
      <c r="G34" s="6">
        <v>22.959</v>
      </c>
      <c r="H34" s="6">
        <v>25.31</v>
      </c>
      <c r="I34" s="6">
        <v>25.31</v>
      </c>
      <c r="J34" s="6">
        <v>25.31</v>
      </c>
      <c r="K34" s="6">
        <v>31.86917</v>
      </c>
      <c r="L34" s="6">
        <v>31.86917</v>
      </c>
      <c r="M34" s="6">
        <v>31.86917</v>
      </c>
      <c r="N34" s="6">
        <v>35.374429999999997</v>
      </c>
      <c r="O34" s="6">
        <v>35.374429999999997</v>
      </c>
      <c r="P34" s="6">
        <v>35.374429999999997</v>
      </c>
      <c r="Q34" s="6">
        <v>35.374429999999997</v>
      </c>
      <c r="R34" s="6">
        <v>35.374429999999997</v>
      </c>
      <c r="S34" s="6">
        <v>35.374429999999997</v>
      </c>
      <c r="T34" s="6">
        <v>35.577971141945</v>
      </c>
      <c r="U34" s="6">
        <v>35.577971141945</v>
      </c>
      <c r="V34" s="6">
        <v>35.577971141945</v>
      </c>
      <c r="W34" s="6">
        <v>35.577971141945</v>
      </c>
      <c r="X34" s="6">
        <v>35.992575946382999</v>
      </c>
    </row>
    <row r="35" spans="1:24" x14ac:dyDescent="0.35">
      <c r="A35" s="4">
        <v>27</v>
      </c>
      <c r="B35" s="6">
        <v>20.14</v>
      </c>
      <c r="C35" s="6">
        <v>20.14</v>
      </c>
      <c r="D35" s="6">
        <v>20.14</v>
      </c>
      <c r="E35" s="6">
        <v>22.864999999999998</v>
      </c>
      <c r="F35" s="6">
        <v>22.864999999999998</v>
      </c>
      <c r="G35" s="6">
        <v>22.864999999999998</v>
      </c>
      <c r="H35" s="6">
        <v>25.19</v>
      </c>
      <c r="I35" s="6">
        <v>25.19</v>
      </c>
      <c r="J35" s="6">
        <v>25.19</v>
      </c>
      <c r="K35" s="6">
        <v>31.671220000000002</v>
      </c>
      <c r="L35" s="6">
        <v>31.671220000000002</v>
      </c>
      <c r="M35" s="6">
        <v>31.671220000000002</v>
      </c>
      <c r="N35" s="6">
        <v>34.54956</v>
      </c>
      <c r="O35" s="6">
        <v>34.54956</v>
      </c>
      <c r="P35" s="6">
        <v>34.54956</v>
      </c>
      <c r="Q35" s="6">
        <v>35.108930000000001</v>
      </c>
      <c r="R35" s="6">
        <v>35.108930000000001</v>
      </c>
      <c r="S35" s="6">
        <v>35.108930000000001</v>
      </c>
      <c r="T35" s="6">
        <v>35.300973752819999</v>
      </c>
      <c r="U35" s="6">
        <v>35.300973752819999</v>
      </c>
      <c r="V35" s="6">
        <v>35.300973752819999</v>
      </c>
      <c r="W35" s="6">
        <v>35.300973752819999</v>
      </c>
      <c r="X35" s="6">
        <v>35.300973752819999</v>
      </c>
    </row>
    <row r="36" spans="1:24" x14ac:dyDescent="0.35">
      <c r="A36" s="4">
        <v>28</v>
      </c>
      <c r="B36" s="6">
        <v>20.03</v>
      </c>
      <c r="C36" s="6">
        <v>20.03</v>
      </c>
      <c r="D36" s="6">
        <v>20.03</v>
      </c>
      <c r="E36" s="6">
        <v>22.609000000000002</v>
      </c>
      <c r="F36" s="6">
        <v>22.609000000000002</v>
      </c>
      <c r="G36" s="6">
        <v>22.609000000000002</v>
      </c>
      <c r="H36" s="6">
        <v>25.06</v>
      </c>
      <c r="I36" s="6">
        <v>25.06</v>
      </c>
      <c r="J36" s="6">
        <v>25.06</v>
      </c>
      <c r="K36" s="6">
        <v>31.467690000000001</v>
      </c>
      <c r="L36" s="6">
        <v>31.467690000000001</v>
      </c>
      <c r="M36" s="6">
        <v>31.467690000000001</v>
      </c>
      <c r="N36" s="6">
        <v>34.252029999999998</v>
      </c>
      <c r="O36" s="6">
        <v>34.252029999999998</v>
      </c>
      <c r="P36" s="6">
        <v>34.252029999999998</v>
      </c>
      <c r="Q36" s="6">
        <v>34.835090000000001</v>
      </c>
      <c r="R36" s="6">
        <v>34.835090000000001</v>
      </c>
      <c r="S36" s="6">
        <v>34.835090000000001</v>
      </c>
      <c r="T36" s="6">
        <v>35.016975635826</v>
      </c>
      <c r="U36" s="6">
        <v>35.016975635826</v>
      </c>
      <c r="V36" s="6">
        <v>35.016975635826</v>
      </c>
      <c r="W36" s="6">
        <v>35.016975635826</v>
      </c>
      <c r="X36" s="6">
        <v>35.016975635826</v>
      </c>
    </row>
    <row r="37" spans="1:24" x14ac:dyDescent="0.35">
      <c r="A37" s="4">
        <v>29</v>
      </c>
      <c r="B37" s="6">
        <v>19.91</v>
      </c>
      <c r="C37" s="6">
        <v>19.91</v>
      </c>
      <c r="D37" s="6">
        <v>19.91</v>
      </c>
      <c r="E37" s="6">
        <v>22.502800000000001</v>
      </c>
      <c r="F37" s="6">
        <v>22.502800000000001</v>
      </c>
      <c r="G37" s="6">
        <v>22.502800000000001</v>
      </c>
      <c r="H37" s="6">
        <v>24.93</v>
      </c>
      <c r="I37" s="6">
        <v>24.93</v>
      </c>
      <c r="J37" s="6">
        <v>24.93</v>
      </c>
      <c r="K37" s="6">
        <v>31.262969999999999</v>
      </c>
      <c r="L37" s="6">
        <v>31.262969999999999</v>
      </c>
      <c r="M37" s="6">
        <v>31.262969999999999</v>
      </c>
      <c r="N37" s="6">
        <v>33.951120000000003</v>
      </c>
      <c r="O37" s="6">
        <v>33.951120000000003</v>
      </c>
      <c r="P37" s="6">
        <v>33.951120000000003</v>
      </c>
      <c r="Q37" s="6">
        <v>34.558039999999998</v>
      </c>
      <c r="R37" s="6">
        <v>34.558039999999998</v>
      </c>
      <c r="S37" s="6">
        <v>34.558039999999998</v>
      </c>
      <c r="T37" s="6">
        <v>34.726623738687998</v>
      </c>
      <c r="U37" s="6">
        <v>34.726623738687998</v>
      </c>
      <c r="V37" s="6">
        <v>34.726623738687998</v>
      </c>
      <c r="W37" s="6">
        <v>34.726623738687998</v>
      </c>
      <c r="X37" s="6">
        <v>34.726623738687998</v>
      </c>
    </row>
    <row r="38" spans="1:24" x14ac:dyDescent="0.35">
      <c r="A38" s="4">
        <v>30</v>
      </c>
      <c r="B38" s="6">
        <v>19.8</v>
      </c>
      <c r="C38" s="6">
        <v>19.8</v>
      </c>
      <c r="D38" s="6">
        <v>19.8</v>
      </c>
      <c r="E38" s="6">
        <v>22.392600000000002</v>
      </c>
      <c r="F38" s="6">
        <v>22.392600000000002</v>
      </c>
      <c r="G38" s="6">
        <v>22.392600000000002</v>
      </c>
      <c r="H38" s="6">
        <v>24.79</v>
      </c>
      <c r="I38" s="6">
        <v>24.79</v>
      </c>
      <c r="J38" s="6">
        <v>24.79</v>
      </c>
      <c r="K38" s="6">
        <v>31.050319999999999</v>
      </c>
      <c r="L38" s="6">
        <v>31.050319999999999</v>
      </c>
      <c r="M38" s="6">
        <v>31.050319999999999</v>
      </c>
      <c r="N38" s="6">
        <v>33.651699999999998</v>
      </c>
      <c r="O38" s="6">
        <v>33.651699999999998</v>
      </c>
      <c r="P38" s="6">
        <v>33.651699999999998</v>
      </c>
      <c r="Q38" s="6">
        <v>33.651699999999998</v>
      </c>
      <c r="R38" s="6">
        <v>34.275280000000002</v>
      </c>
      <c r="S38" s="6">
        <v>34.275280000000002</v>
      </c>
      <c r="T38" s="6">
        <v>34.430544645357003</v>
      </c>
      <c r="U38" s="6">
        <v>34.430544645357003</v>
      </c>
      <c r="V38" s="6">
        <v>34.430544645357003</v>
      </c>
      <c r="W38" s="6">
        <v>34.430544645357003</v>
      </c>
      <c r="X38" s="6">
        <v>34.430544645357003</v>
      </c>
    </row>
    <row r="39" spans="1:24" x14ac:dyDescent="0.35">
      <c r="A39" s="4">
        <v>31</v>
      </c>
      <c r="B39" s="6">
        <v>19.670000000000002</v>
      </c>
      <c r="C39" s="6">
        <v>19.670000000000002</v>
      </c>
      <c r="D39" s="6">
        <v>19.670000000000002</v>
      </c>
      <c r="E39" s="6">
        <v>22.278300000000002</v>
      </c>
      <c r="F39" s="6">
        <v>22.278300000000002</v>
      </c>
      <c r="G39" s="6">
        <v>22.278300000000002</v>
      </c>
      <c r="H39" s="6">
        <v>24.43</v>
      </c>
      <c r="I39" s="6">
        <v>24.43</v>
      </c>
      <c r="J39" s="6">
        <v>24.43</v>
      </c>
      <c r="K39" s="6">
        <v>30.828890000000001</v>
      </c>
      <c r="L39" s="6">
        <v>30.828890000000001</v>
      </c>
      <c r="M39" s="6">
        <v>30.828890000000001</v>
      </c>
      <c r="N39" s="6">
        <v>33.354149999999997</v>
      </c>
      <c r="O39" s="6">
        <v>33.354149999999997</v>
      </c>
      <c r="P39" s="6">
        <v>33.354149999999997</v>
      </c>
      <c r="Q39" s="6">
        <v>33.354149999999997</v>
      </c>
      <c r="R39" s="6">
        <v>33.354149999999997</v>
      </c>
      <c r="S39" s="6">
        <v>33.983739999999997</v>
      </c>
      <c r="T39" s="6">
        <v>34.128602983175</v>
      </c>
      <c r="U39" s="6">
        <v>34.128602983175</v>
      </c>
      <c r="V39" s="6">
        <v>34.128602983175</v>
      </c>
      <c r="W39" s="6">
        <v>34.128602983175</v>
      </c>
      <c r="X39" s="6">
        <v>34.128602983175</v>
      </c>
    </row>
    <row r="40" spans="1:24" x14ac:dyDescent="0.35">
      <c r="A40" s="4">
        <v>32</v>
      </c>
      <c r="B40" s="6">
        <v>19.55</v>
      </c>
      <c r="C40" s="6">
        <v>19.55</v>
      </c>
      <c r="D40" s="6">
        <v>19.55</v>
      </c>
      <c r="E40" s="6">
        <v>22.159800000000001</v>
      </c>
      <c r="F40" s="6">
        <v>22.159800000000001</v>
      </c>
      <c r="G40" s="6">
        <v>22.159800000000001</v>
      </c>
      <c r="H40" s="6">
        <v>24.28</v>
      </c>
      <c r="I40" s="6">
        <v>24.28</v>
      </c>
      <c r="J40" s="6">
        <v>24.28</v>
      </c>
      <c r="K40" s="6">
        <v>30.606210000000001</v>
      </c>
      <c r="L40" s="6">
        <v>30.606210000000001</v>
      </c>
      <c r="M40" s="6">
        <v>30.606210000000001</v>
      </c>
      <c r="N40" s="6">
        <v>33.05397</v>
      </c>
      <c r="O40" s="6">
        <v>33.05397</v>
      </c>
      <c r="P40" s="6">
        <v>33.05397</v>
      </c>
      <c r="Q40" s="6">
        <v>33.05397</v>
      </c>
      <c r="R40" s="6">
        <v>33.05397</v>
      </c>
      <c r="S40" s="6">
        <v>33.05397</v>
      </c>
      <c r="T40" s="6">
        <v>33.820534861416</v>
      </c>
      <c r="U40" s="6">
        <v>33.820534861416</v>
      </c>
      <c r="V40" s="6">
        <v>33.820534861416</v>
      </c>
      <c r="W40" s="6">
        <v>33.820534861416</v>
      </c>
      <c r="X40" s="6">
        <v>33.820534861416</v>
      </c>
    </row>
    <row r="41" spans="1:24" x14ac:dyDescent="0.35">
      <c r="A41" s="4">
        <v>33</v>
      </c>
      <c r="B41" s="6">
        <v>19.420000000000002</v>
      </c>
      <c r="C41" s="6">
        <v>19.420000000000002</v>
      </c>
      <c r="D41" s="6">
        <v>19.420000000000002</v>
      </c>
      <c r="E41" s="6">
        <v>22.036999999999999</v>
      </c>
      <c r="F41" s="6">
        <v>22.036999999999999</v>
      </c>
      <c r="G41" s="6">
        <v>22.036999999999999</v>
      </c>
      <c r="H41" s="6">
        <v>24.12</v>
      </c>
      <c r="I41" s="6">
        <v>24.12</v>
      </c>
      <c r="J41" s="6">
        <v>24.12</v>
      </c>
      <c r="K41" s="6">
        <v>30.381260000000001</v>
      </c>
      <c r="L41" s="6">
        <v>30.381260000000001</v>
      </c>
      <c r="M41" s="6">
        <v>30.381260000000001</v>
      </c>
      <c r="N41" s="6">
        <v>32.751440000000002</v>
      </c>
      <c r="O41" s="6">
        <v>32.751440000000002</v>
      </c>
      <c r="P41" s="6">
        <v>32.751440000000002</v>
      </c>
      <c r="Q41" s="6">
        <v>32.751440000000002</v>
      </c>
      <c r="R41" s="6">
        <v>32.751440000000002</v>
      </c>
      <c r="S41" s="6">
        <v>32.751440000000002</v>
      </c>
      <c r="T41" s="6">
        <v>32.989083215530002</v>
      </c>
      <c r="U41" s="6">
        <v>33.505991169783996</v>
      </c>
      <c r="V41" s="6">
        <v>33.505991169783996</v>
      </c>
      <c r="W41" s="6">
        <v>33.505991169783996</v>
      </c>
      <c r="X41" s="6">
        <v>33.505991169783996</v>
      </c>
    </row>
    <row r="42" spans="1:24" x14ac:dyDescent="0.35">
      <c r="A42" s="4">
        <v>34</v>
      </c>
      <c r="B42" s="6">
        <v>19.28</v>
      </c>
      <c r="C42" s="6">
        <v>19.28</v>
      </c>
      <c r="D42" s="6">
        <v>19.28</v>
      </c>
      <c r="E42" s="6">
        <v>21.909700000000001</v>
      </c>
      <c r="F42" s="6">
        <v>21.909700000000001</v>
      </c>
      <c r="G42" s="6">
        <v>21.909700000000001</v>
      </c>
      <c r="H42" s="6">
        <v>23.96</v>
      </c>
      <c r="I42" s="6">
        <v>23.96</v>
      </c>
      <c r="J42" s="6">
        <v>23.96</v>
      </c>
      <c r="K42" s="6">
        <v>29.689129999999999</v>
      </c>
      <c r="L42" s="6">
        <v>29.689129999999999</v>
      </c>
      <c r="M42" s="6">
        <v>29.689129999999999</v>
      </c>
      <c r="N42" s="6">
        <v>32.43976</v>
      </c>
      <c r="O42" s="6">
        <v>32.43976</v>
      </c>
      <c r="P42" s="6">
        <v>32.43976</v>
      </c>
      <c r="Q42" s="6">
        <v>32.43976</v>
      </c>
      <c r="R42" s="6">
        <v>32.43976</v>
      </c>
      <c r="S42" s="6">
        <v>32.43976</v>
      </c>
      <c r="T42" s="6">
        <v>32.660921042565001</v>
      </c>
      <c r="U42" s="6">
        <v>32.660921042565001</v>
      </c>
      <c r="V42" s="6">
        <v>33.184735131791001</v>
      </c>
      <c r="W42" s="6">
        <v>33.184735131791001</v>
      </c>
      <c r="X42" s="6">
        <v>33.184735131791001</v>
      </c>
    </row>
    <row r="43" spans="1:24" x14ac:dyDescent="0.35">
      <c r="A43" s="4">
        <v>35</v>
      </c>
      <c r="B43" s="6">
        <v>19.14</v>
      </c>
      <c r="C43" s="6">
        <v>19.14</v>
      </c>
      <c r="D43" s="6">
        <v>19.14</v>
      </c>
      <c r="E43" s="6">
        <v>21.777699999999999</v>
      </c>
      <c r="F43" s="6">
        <v>21.777699999999999</v>
      </c>
      <c r="G43" s="6">
        <v>21.777699999999999</v>
      </c>
      <c r="H43" s="6">
        <v>23.79</v>
      </c>
      <c r="I43" s="6">
        <v>23.79</v>
      </c>
      <c r="J43" s="6">
        <v>23.79</v>
      </c>
      <c r="K43" s="6">
        <v>29.443629999999999</v>
      </c>
      <c r="L43" s="6">
        <v>29.443629999999999</v>
      </c>
      <c r="M43" s="6">
        <v>29.443629999999999</v>
      </c>
      <c r="N43" s="6">
        <v>32.117829999999998</v>
      </c>
      <c r="O43" s="6">
        <v>32.117829999999998</v>
      </c>
      <c r="P43" s="6">
        <v>32.117829999999998</v>
      </c>
      <c r="Q43" s="6">
        <v>32.117829999999998</v>
      </c>
      <c r="R43" s="6">
        <v>32.117829999999998</v>
      </c>
      <c r="S43" s="6">
        <v>32.117829999999998</v>
      </c>
      <c r="T43" s="6">
        <v>32.326650964738</v>
      </c>
      <c r="U43" s="6">
        <v>32.326650964738</v>
      </c>
      <c r="V43" s="6">
        <v>32.326650964738</v>
      </c>
      <c r="W43" s="6">
        <v>32.857174717069</v>
      </c>
      <c r="X43" s="6">
        <v>32.857174717069</v>
      </c>
    </row>
    <row r="44" spans="1:24" x14ac:dyDescent="0.35">
      <c r="A44" s="4">
        <v>36</v>
      </c>
      <c r="B44" s="6">
        <v>18.989999999999998</v>
      </c>
      <c r="C44" s="6">
        <v>18.989999999999998</v>
      </c>
      <c r="D44" s="6">
        <v>18.989999999999998</v>
      </c>
      <c r="E44" s="6">
        <v>21.640799999999999</v>
      </c>
      <c r="F44" s="6">
        <v>21.640799999999999</v>
      </c>
      <c r="G44" s="6">
        <v>21.640799999999999</v>
      </c>
      <c r="H44" s="6">
        <v>23.62</v>
      </c>
      <c r="I44" s="6">
        <v>23.62</v>
      </c>
      <c r="J44" s="6">
        <v>23.62</v>
      </c>
      <c r="K44" s="6">
        <v>29.191949999999999</v>
      </c>
      <c r="L44" s="6">
        <v>29.191949999999999</v>
      </c>
      <c r="M44" s="6">
        <v>29.191949999999999</v>
      </c>
      <c r="N44" s="6">
        <v>31.795210000000001</v>
      </c>
      <c r="O44" s="6">
        <v>31.795210000000001</v>
      </c>
      <c r="P44" s="6">
        <v>31.795210000000001</v>
      </c>
      <c r="Q44" s="6">
        <v>31.795210000000001</v>
      </c>
      <c r="R44" s="6">
        <v>31.795210000000001</v>
      </c>
      <c r="S44" s="6">
        <v>31.795210000000001</v>
      </c>
      <c r="T44" s="6">
        <v>31.986644305237</v>
      </c>
      <c r="U44" s="6">
        <v>31.986644305237</v>
      </c>
      <c r="V44" s="6">
        <v>31.986644305237</v>
      </c>
      <c r="W44" s="6">
        <v>31.986644305237</v>
      </c>
      <c r="X44" s="6">
        <v>32.523748187700001</v>
      </c>
    </row>
    <row r="45" spans="1:24" x14ac:dyDescent="0.35">
      <c r="A45" s="4">
        <v>37</v>
      </c>
      <c r="B45" s="6">
        <v>18.84</v>
      </c>
      <c r="C45" s="6">
        <v>18.84</v>
      </c>
      <c r="D45" s="6">
        <v>18.84</v>
      </c>
      <c r="E45" s="6">
        <v>21.498899999999999</v>
      </c>
      <c r="F45" s="6">
        <v>21.498899999999999</v>
      </c>
      <c r="G45" s="6">
        <v>21.498899999999999</v>
      </c>
      <c r="H45" s="6">
        <v>23.44</v>
      </c>
      <c r="I45" s="6">
        <v>23.44</v>
      </c>
      <c r="J45" s="6">
        <v>23.44</v>
      </c>
      <c r="K45" s="6">
        <v>28.94107</v>
      </c>
      <c r="L45" s="6">
        <v>28.94107</v>
      </c>
      <c r="M45" s="6">
        <v>28.94107</v>
      </c>
      <c r="N45" s="6">
        <v>30.782330000000002</v>
      </c>
      <c r="O45" s="6">
        <v>30.782330000000002</v>
      </c>
      <c r="P45" s="6">
        <v>30.782330000000002</v>
      </c>
      <c r="Q45" s="6">
        <v>31.469650000000001</v>
      </c>
      <c r="R45" s="6">
        <v>31.469650000000001</v>
      </c>
      <c r="S45" s="6">
        <v>31.469650000000001</v>
      </c>
      <c r="T45" s="6">
        <v>31.640712404572</v>
      </c>
      <c r="U45" s="6">
        <v>31.640712404572</v>
      </c>
      <c r="V45" s="6">
        <v>31.640712404572</v>
      </c>
      <c r="W45" s="6">
        <v>31.640712404572</v>
      </c>
      <c r="X45" s="6">
        <v>31.640712404572</v>
      </c>
    </row>
    <row r="46" spans="1:24" x14ac:dyDescent="0.35">
      <c r="A46" s="4">
        <v>38</v>
      </c>
      <c r="B46" s="6">
        <v>18.68</v>
      </c>
      <c r="C46" s="6">
        <v>18.68</v>
      </c>
      <c r="D46" s="6">
        <v>18.68</v>
      </c>
      <c r="E46" s="6">
        <v>21.1143</v>
      </c>
      <c r="F46" s="6">
        <v>21.1143</v>
      </c>
      <c r="G46" s="6">
        <v>21.1143</v>
      </c>
      <c r="H46" s="6">
        <v>23.26</v>
      </c>
      <c r="I46" s="6">
        <v>23.26</v>
      </c>
      <c r="J46" s="6">
        <v>23.26</v>
      </c>
      <c r="K46" s="6">
        <v>28.693539999999999</v>
      </c>
      <c r="L46" s="6">
        <v>28.693539999999999</v>
      </c>
      <c r="M46" s="6">
        <v>28.693539999999999</v>
      </c>
      <c r="N46" s="6">
        <v>30.41854</v>
      </c>
      <c r="O46" s="6">
        <v>30.41854</v>
      </c>
      <c r="P46" s="6">
        <v>30.41854</v>
      </c>
      <c r="Q46" s="6">
        <v>31.139150000000001</v>
      </c>
      <c r="R46" s="6">
        <v>31.139150000000001</v>
      </c>
      <c r="S46" s="6">
        <v>31.139150000000001</v>
      </c>
      <c r="T46" s="6">
        <v>31.288748909315999</v>
      </c>
      <c r="U46" s="6">
        <v>31.288748909315999</v>
      </c>
      <c r="V46" s="6">
        <v>31.288748909315999</v>
      </c>
      <c r="W46" s="6">
        <v>31.288748909315999</v>
      </c>
      <c r="X46" s="6">
        <v>31.288748909315999</v>
      </c>
    </row>
    <row r="47" spans="1:24" x14ac:dyDescent="0.35">
      <c r="A47" s="4">
        <v>39</v>
      </c>
      <c r="B47" s="6">
        <v>18.52</v>
      </c>
      <c r="C47" s="6">
        <v>18.52</v>
      </c>
      <c r="D47" s="6">
        <v>18.52</v>
      </c>
      <c r="E47" s="6">
        <v>20.9543</v>
      </c>
      <c r="F47" s="6">
        <v>20.9543</v>
      </c>
      <c r="G47" s="6">
        <v>20.9543</v>
      </c>
      <c r="H47" s="6">
        <v>23.07</v>
      </c>
      <c r="I47" s="6">
        <v>23.07</v>
      </c>
      <c r="J47" s="6">
        <v>23.07</v>
      </c>
      <c r="K47" s="6">
        <v>28.43393</v>
      </c>
      <c r="L47" s="6">
        <v>28.43393</v>
      </c>
      <c r="M47" s="6">
        <v>28.43393</v>
      </c>
      <c r="N47" s="6">
        <v>30.044809999999998</v>
      </c>
      <c r="O47" s="6">
        <v>30.044809999999998</v>
      </c>
      <c r="P47" s="6">
        <v>30.044809999999998</v>
      </c>
      <c r="Q47" s="6">
        <v>30.795400000000001</v>
      </c>
      <c r="R47" s="6">
        <v>30.795400000000001</v>
      </c>
      <c r="S47" s="6">
        <v>30.795400000000001</v>
      </c>
      <c r="T47" s="6">
        <v>30.930664759462999</v>
      </c>
      <c r="U47" s="6">
        <v>30.930664759462999</v>
      </c>
      <c r="V47" s="6">
        <v>30.930664759462999</v>
      </c>
      <c r="W47" s="6">
        <v>30.930664759462999</v>
      </c>
      <c r="X47" s="6">
        <v>30.930664759462999</v>
      </c>
    </row>
    <row r="48" spans="1:24" x14ac:dyDescent="0.35">
      <c r="A48" s="4">
        <v>40</v>
      </c>
      <c r="B48" s="6">
        <v>18.350000000000001</v>
      </c>
      <c r="C48" s="6">
        <v>18.350000000000001</v>
      </c>
      <c r="D48" s="6">
        <v>18.350000000000001</v>
      </c>
      <c r="E48" s="6">
        <v>20.790099999999999</v>
      </c>
      <c r="F48" s="6">
        <v>20.790099999999999</v>
      </c>
      <c r="G48" s="6">
        <v>20.790099999999999</v>
      </c>
      <c r="H48" s="6">
        <v>22.88</v>
      </c>
      <c r="I48" s="6">
        <v>22.88</v>
      </c>
      <c r="J48" s="6">
        <v>22.88</v>
      </c>
      <c r="K48" s="6">
        <v>28.16676</v>
      </c>
      <c r="L48" s="6">
        <v>28.16676</v>
      </c>
      <c r="M48" s="6">
        <v>28.16676</v>
      </c>
      <c r="N48" s="6">
        <v>29.672080000000001</v>
      </c>
      <c r="O48" s="6">
        <v>29.672080000000001</v>
      </c>
      <c r="P48" s="6">
        <v>29.672080000000001</v>
      </c>
      <c r="Q48" s="6">
        <v>29.672080000000001</v>
      </c>
      <c r="R48" s="6">
        <v>30.439540000000001</v>
      </c>
      <c r="S48" s="6">
        <v>30.439540000000001</v>
      </c>
      <c r="T48" s="6">
        <v>30.566420501968999</v>
      </c>
      <c r="U48" s="6">
        <v>30.566420501968999</v>
      </c>
      <c r="V48" s="6">
        <v>30.566420501968999</v>
      </c>
      <c r="W48" s="6">
        <v>30.566420501968999</v>
      </c>
      <c r="X48" s="6">
        <v>30.566420501968999</v>
      </c>
    </row>
    <row r="49" spans="1:24" x14ac:dyDescent="0.35">
      <c r="A49" s="4">
        <v>41</v>
      </c>
      <c r="B49" s="6">
        <v>18.170000000000002</v>
      </c>
      <c r="C49" s="6">
        <v>18.170000000000002</v>
      </c>
      <c r="D49" s="6">
        <v>18.170000000000002</v>
      </c>
      <c r="E49" s="6">
        <v>20.622</v>
      </c>
      <c r="F49" s="6">
        <v>20.622</v>
      </c>
      <c r="G49" s="6">
        <v>20.622</v>
      </c>
      <c r="H49" s="6">
        <v>22.37</v>
      </c>
      <c r="I49" s="6">
        <v>22.37</v>
      </c>
      <c r="J49" s="6">
        <v>22.37</v>
      </c>
      <c r="K49" s="6">
        <v>27.897099999999998</v>
      </c>
      <c r="L49" s="6">
        <v>27.897099999999998</v>
      </c>
      <c r="M49" s="6">
        <v>27.897099999999998</v>
      </c>
      <c r="N49" s="6">
        <v>29.31335</v>
      </c>
      <c r="O49" s="6">
        <v>29.31335</v>
      </c>
      <c r="P49" s="6">
        <v>29.31335</v>
      </c>
      <c r="Q49" s="6">
        <v>29.31335</v>
      </c>
      <c r="R49" s="6">
        <v>29.31335</v>
      </c>
      <c r="S49" s="6">
        <v>30.086590000000001</v>
      </c>
      <c r="T49" s="6">
        <v>30.195947911895999</v>
      </c>
      <c r="U49" s="6">
        <v>30.195947911895999</v>
      </c>
      <c r="V49" s="6">
        <v>30.195947911895999</v>
      </c>
      <c r="W49" s="6">
        <v>30.195947911895999</v>
      </c>
      <c r="X49" s="6">
        <v>30.195947911895999</v>
      </c>
    </row>
    <row r="50" spans="1:24" x14ac:dyDescent="0.35">
      <c r="A50" s="4">
        <v>42</v>
      </c>
      <c r="B50" s="6">
        <v>17.989999999999998</v>
      </c>
      <c r="C50" s="6">
        <v>17.989999999999998</v>
      </c>
      <c r="D50" s="6">
        <v>17.989999999999998</v>
      </c>
      <c r="E50" s="6">
        <v>20.448399999999999</v>
      </c>
      <c r="F50" s="6">
        <v>20.448399999999999</v>
      </c>
      <c r="G50" s="6">
        <v>20.448399999999999</v>
      </c>
      <c r="H50" s="6">
        <v>22.15</v>
      </c>
      <c r="I50" s="6">
        <v>22.15</v>
      </c>
      <c r="J50" s="6">
        <v>22.15</v>
      </c>
      <c r="K50" s="6">
        <v>27.62322</v>
      </c>
      <c r="L50" s="6">
        <v>27.62322</v>
      </c>
      <c r="M50" s="6">
        <v>27.62322</v>
      </c>
      <c r="N50" s="6">
        <v>28.956700000000001</v>
      </c>
      <c r="O50" s="6">
        <v>28.956700000000001</v>
      </c>
      <c r="P50" s="6">
        <v>28.956700000000001</v>
      </c>
      <c r="Q50" s="6">
        <v>28.956700000000001</v>
      </c>
      <c r="R50" s="6">
        <v>28.956700000000001</v>
      </c>
      <c r="S50" s="6">
        <v>28.956700000000001</v>
      </c>
      <c r="T50" s="6">
        <v>29.819120717749001</v>
      </c>
      <c r="U50" s="6">
        <v>29.819120717749001</v>
      </c>
      <c r="V50" s="6">
        <v>29.819120717749001</v>
      </c>
      <c r="W50" s="6">
        <v>29.819120717749001</v>
      </c>
      <c r="X50" s="6">
        <v>29.819120717749001</v>
      </c>
    </row>
    <row r="51" spans="1:24" x14ac:dyDescent="0.35">
      <c r="A51" s="4">
        <v>43</v>
      </c>
      <c r="B51" s="6">
        <v>17.8</v>
      </c>
      <c r="C51" s="6">
        <v>17.8</v>
      </c>
      <c r="D51" s="6">
        <v>17.8</v>
      </c>
      <c r="E51" s="6">
        <v>20.269200000000001</v>
      </c>
      <c r="F51" s="6">
        <v>20.269200000000001</v>
      </c>
      <c r="G51" s="6">
        <v>20.269200000000001</v>
      </c>
      <c r="H51" s="6">
        <v>21.94</v>
      </c>
      <c r="I51" s="6">
        <v>21.94</v>
      </c>
      <c r="J51" s="6">
        <v>21.94</v>
      </c>
      <c r="K51" s="6">
        <v>27.348710000000001</v>
      </c>
      <c r="L51" s="6">
        <v>27.348710000000001</v>
      </c>
      <c r="M51" s="6">
        <v>27.348710000000001</v>
      </c>
      <c r="N51" s="6">
        <v>28.588339999999999</v>
      </c>
      <c r="O51" s="6">
        <v>28.588339999999999</v>
      </c>
      <c r="P51" s="6">
        <v>28.588339999999999</v>
      </c>
      <c r="Q51" s="6">
        <v>28.588339999999999</v>
      </c>
      <c r="R51" s="6">
        <v>28.588339999999999</v>
      </c>
      <c r="S51" s="6">
        <v>28.588339999999999</v>
      </c>
      <c r="T51" s="6">
        <v>28.781688386645001</v>
      </c>
      <c r="U51" s="6">
        <v>29.435800861293</v>
      </c>
      <c r="V51" s="6">
        <v>29.435800861293</v>
      </c>
      <c r="W51" s="6">
        <v>29.435800861293</v>
      </c>
      <c r="X51" s="6">
        <v>29.435800861293</v>
      </c>
    </row>
    <row r="52" spans="1:24" x14ac:dyDescent="0.35">
      <c r="A52" s="4">
        <v>44</v>
      </c>
      <c r="B52" s="6">
        <v>17.600000000000001</v>
      </c>
      <c r="C52" s="6">
        <v>17.600000000000001</v>
      </c>
      <c r="D52" s="6">
        <v>17.600000000000001</v>
      </c>
      <c r="E52" s="6">
        <v>20.084199999999999</v>
      </c>
      <c r="F52" s="6">
        <v>20.084199999999999</v>
      </c>
      <c r="G52" s="6">
        <v>20.084199999999999</v>
      </c>
      <c r="H52" s="6">
        <v>21.71</v>
      </c>
      <c r="I52" s="6">
        <v>21.71</v>
      </c>
      <c r="J52" s="6">
        <v>21.71</v>
      </c>
      <c r="K52" s="6">
        <v>26.473269999999999</v>
      </c>
      <c r="L52" s="6">
        <v>26.473269999999999</v>
      </c>
      <c r="M52" s="6">
        <v>26.473269999999999</v>
      </c>
      <c r="N52" s="6">
        <v>28.21443</v>
      </c>
      <c r="O52" s="6">
        <v>28.21443</v>
      </c>
      <c r="P52" s="6">
        <v>28.21443</v>
      </c>
      <c r="Q52" s="6">
        <v>28.21443</v>
      </c>
      <c r="R52" s="6">
        <v>28.21443</v>
      </c>
      <c r="S52" s="6">
        <v>28.21443</v>
      </c>
      <c r="T52" s="6">
        <v>28.385107576125002</v>
      </c>
      <c r="U52" s="6">
        <v>28.385107576125002</v>
      </c>
      <c r="V52" s="6">
        <v>29.045877840477999</v>
      </c>
      <c r="W52" s="6">
        <v>29.045877840477999</v>
      </c>
      <c r="X52" s="6">
        <v>29.045877840477999</v>
      </c>
    </row>
    <row r="53" spans="1:24" x14ac:dyDescent="0.35">
      <c r="A53" s="4">
        <v>45</v>
      </c>
      <c r="B53" s="6">
        <v>17.399999999999999</v>
      </c>
      <c r="C53" s="6">
        <v>17.399999999999999</v>
      </c>
      <c r="D53" s="6">
        <v>17.399999999999999</v>
      </c>
      <c r="E53" s="6">
        <v>19.8932</v>
      </c>
      <c r="F53" s="6">
        <v>19.8932</v>
      </c>
      <c r="G53" s="6">
        <v>19.8932</v>
      </c>
      <c r="H53" s="6">
        <v>21.48</v>
      </c>
      <c r="I53" s="6">
        <v>21.48</v>
      </c>
      <c r="J53" s="6">
        <v>21.48</v>
      </c>
      <c r="K53" s="6">
        <v>26.179559999999999</v>
      </c>
      <c r="L53" s="6">
        <v>26.179559999999999</v>
      </c>
      <c r="M53" s="6">
        <v>26.179559999999999</v>
      </c>
      <c r="N53" s="6">
        <v>27.844180000000001</v>
      </c>
      <c r="O53" s="6">
        <v>27.844180000000001</v>
      </c>
      <c r="P53" s="6">
        <v>27.844180000000001</v>
      </c>
      <c r="Q53" s="6">
        <v>27.844180000000001</v>
      </c>
      <c r="R53" s="6">
        <v>27.844180000000001</v>
      </c>
      <c r="S53" s="6">
        <v>27.844180000000001</v>
      </c>
      <c r="T53" s="6">
        <v>27.982407054717001</v>
      </c>
      <c r="U53" s="6">
        <v>27.982407054717001</v>
      </c>
      <c r="V53" s="6">
        <v>27.982407054717001</v>
      </c>
      <c r="W53" s="6">
        <v>28.649268019899999</v>
      </c>
      <c r="X53" s="6">
        <v>28.649268019899999</v>
      </c>
    </row>
    <row r="54" spans="1:24" x14ac:dyDescent="0.35">
      <c r="A54" s="4">
        <v>46</v>
      </c>
      <c r="B54" s="6">
        <v>17.2</v>
      </c>
      <c r="C54" s="6">
        <v>17.2</v>
      </c>
      <c r="D54" s="6">
        <v>17.2</v>
      </c>
      <c r="E54" s="6">
        <v>19.696100000000001</v>
      </c>
      <c r="F54" s="6">
        <v>19.696100000000001</v>
      </c>
      <c r="G54" s="6">
        <v>19.696100000000001</v>
      </c>
      <c r="H54" s="6">
        <v>21.25</v>
      </c>
      <c r="I54" s="6">
        <v>21.25</v>
      </c>
      <c r="J54" s="6">
        <v>21.25</v>
      </c>
      <c r="K54" s="6">
        <v>25.88195</v>
      </c>
      <c r="L54" s="6">
        <v>25.88195</v>
      </c>
      <c r="M54" s="6">
        <v>25.88195</v>
      </c>
      <c r="N54" s="6">
        <v>27.47166</v>
      </c>
      <c r="O54" s="6">
        <v>27.47166</v>
      </c>
      <c r="P54" s="6">
        <v>27.47166</v>
      </c>
      <c r="Q54" s="6">
        <v>27.47166</v>
      </c>
      <c r="R54" s="6">
        <v>27.47166</v>
      </c>
      <c r="S54" s="6">
        <v>27.47166</v>
      </c>
      <c r="T54" s="6">
        <v>27.573886252087</v>
      </c>
      <c r="U54" s="6">
        <v>27.573886252087</v>
      </c>
      <c r="V54" s="6">
        <v>27.573886252087</v>
      </c>
      <c r="W54" s="6">
        <v>27.573886252087</v>
      </c>
      <c r="X54" s="6">
        <v>28.246431383767</v>
      </c>
    </row>
    <row r="55" spans="1:24" x14ac:dyDescent="0.35">
      <c r="A55" s="4">
        <v>47</v>
      </c>
      <c r="B55" s="6">
        <v>16.98</v>
      </c>
      <c r="C55" s="6">
        <v>16.98</v>
      </c>
      <c r="D55" s="6">
        <v>16.98</v>
      </c>
      <c r="E55" s="6">
        <v>19.492699999999999</v>
      </c>
      <c r="F55" s="6">
        <v>19.492699999999999</v>
      </c>
      <c r="G55" s="6">
        <v>19.492699999999999</v>
      </c>
      <c r="H55" s="6">
        <v>21</v>
      </c>
      <c r="I55" s="6">
        <v>21</v>
      </c>
      <c r="J55" s="6">
        <v>21</v>
      </c>
      <c r="K55" s="6">
        <v>25.57827</v>
      </c>
      <c r="L55" s="6">
        <v>25.57827</v>
      </c>
      <c r="M55" s="6">
        <v>25.57827</v>
      </c>
      <c r="N55" s="6">
        <v>26.326180000000001</v>
      </c>
      <c r="O55" s="6">
        <v>26.326180000000001</v>
      </c>
      <c r="P55" s="6">
        <v>26.326180000000001</v>
      </c>
      <c r="Q55" s="6">
        <v>27.097770000000001</v>
      </c>
      <c r="R55" s="6">
        <v>27.097770000000001</v>
      </c>
      <c r="S55" s="6">
        <v>27.097770000000001</v>
      </c>
      <c r="T55" s="6">
        <v>27.159908740012</v>
      </c>
      <c r="U55" s="6">
        <v>27.159908740012</v>
      </c>
      <c r="V55" s="6">
        <v>27.159908740012</v>
      </c>
      <c r="W55" s="6">
        <v>27.159908740012</v>
      </c>
      <c r="X55" s="6">
        <v>27.159908740012</v>
      </c>
    </row>
    <row r="56" spans="1:24" x14ac:dyDescent="0.35">
      <c r="A56" s="4">
        <v>48</v>
      </c>
      <c r="B56" s="6">
        <v>16.760000000000002</v>
      </c>
      <c r="C56" s="6">
        <v>16.760000000000002</v>
      </c>
      <c r="D56" s="6">
        <v>16.760000000000002</v>
      </c>
      <c r="E56" s="6">
        <v>18.944600000000001</v>
      </c>
      <c r="F56" s="6">
        <v>18.944600000000001</v>
      </c>
      <c r="G56" s="6">
        <v>18.944600000000001</v>
      </c>
      <c r="H56" s="6">
        <v>20.75</v>
      </c>
      <c r="I56" s="6">
        <v>20.75</v>
      </c>
      <c r="J56" s="6">
        <v>20.75</v>
      </c>
      <c r="K56" s="6">
        <v>25.26737</v>
      </c>
      <c r="L56" s="6">
        <v>25.26737</v>
      </c>
      <c r="M56" s="6">
        <v>25.26737</v>
      </c>
      <c r="N56" s="6">
        <v>25.899760000000001</v>
      </c>
      <c r="O56" s="6">
        <v>25.899760000000001</v>
      </c>
      <c r="P56" s="6">
        <v>25.899760000000001</v>
      </c>
      <c r="Q56" s="6">
        <v>26.722819999999999</v>
      </c>
      <c r="R56" s="6">
        <v>26.722819999999999</v>
      </c>
      <c r="S56" s="6">
        <v>26.722819999999999</v>
      </c>
      <c r="T56" s="6">
        <v>26.740550574581</v>
      </c>
      <c r="U56" s="6">
        <v>26.740550574581</v>
      </c>
      <c r="V56" s="6">
        <v>26.740550574581</v>
      </c>
      <c r="W56" s="6">
        <v>26.740550574581</v>
      </c>
      <c r="X56" s="6">
        <v>26.740550574581</v>
      </c>
    </row>
    <row r="57" spans="1:24" x14ac:dyDescent="0.35">
      <c r="A57" s="4">
        <v>49</v>
      </c>
      <c r="B57" s="6">
        <v>16.53</v>
      </c>
      <c r="C57" s="6">
        <v>16.53</v>
      </c>
      <c r="D57" s="6">
        <v>16.53</v>
      </c>
      <c r="E57" s="6">
        <v>18.719899999999999</v>
      </c>
      <c r="F57" s="6">
        <v>18.719899999999999</v>
      </c>
      <c r="G57" s="6">
        <v>18.719899999999999</v>
      </c>
      <c r="H57" s="6">
        <v>20.5</v>
      </c>
      <c r="I57" s="6">
        <v>20.5</v>
      </c>
      <c r="J57" s="6">
        <v>20.5</v>
      </c>
      <c r="K57" s="6">
        <v>24.956150000000001</v>
      </c>
      <c r="L57" s="6">
        <v>24.956150000000001</v>
      </c>
      <c r="M57" s="6">
        <v>24.956150000000001</v>
      </c>
      <c r="N57" s="6">
        <v>25.463750000000001</v>
      </c>
      <c r="O57" s="6">
        <v>25.463750000000001</v>
      </c>
      <c r="P57" s="6">
        <v>25.463750000000001</v>
      </c>
      <c r="Q57" s="6">
        <v>26.338059999999999</v>
      </c>
      <c r="R57" s="6">
        <v>26.338059999999999</v>
      </c>
      <c r="S57" s="6">
        <v>26.338059999999999</v>
      </c>
      <c r="T57" s="6">
        <v>26.315902277801001</v>
      </c>
      <c r="U57" s="6">
        <v>26.315902277801001</v>
      </c>
      <c r="V57" s="6">
        <v>26.315902277801001</v>
      </c>
      <c r="W57" s="6">
        <v>26.315902277801001</v>
      </c>
      <c r="X57" s="6">
        <v>26.315902277801001</v>
      </c>
    </row>
    <row r="58" spans="1:24" x14ac:dyDescent="0.35">
      <c r="A58" s="4">
        <v>50</v>
      </c>
      <c r="B58" s="6">
        <v>16.3</v>
      </c>
      <c r="C58" s="6">
        <v>16.3</v>
      </c>
      <c r="D58" s="6">
        <v>16.3</v>
      </c>
      <c r="E58" s="6">
        <v>18.488399999999999</v>
      </c>
      <c r="F58" s="6">
        <v>18.488399999999999</v>
      </c>
      <c r="G58" s="6">
        <v>18.488399999999999</v>
      </c>
      <c r="H58" s="6">
        <v>20.23</v>
      </c>
      <c r="I58" s="6">
        <v>20.23</v>
      </c>
      <c r="J58" s="6">
        <v>20.23</v>
      </c>
      <c r="K58" s="6">
        <v>24.64873</v>
      </c>
      <c r="L58" s="6">
        <v>24.64873</v>
      </c>
      <c r="M58" s="6">
        <v>24.64873</v>
      </c>
      <c r="N58" s="6">
        <v>25.041409999999999</v>
      </c>
      <c r="O58" s="6">
        <v>25.041409999999999</v>
      </c>
      <c r="P58" s="6">
        <v>25.041409999999999</v>
      </c>
      <c r="Q58" s="6">
        <v>25.041409999999999</v>
      </c>
      <c r="R58" s="6">
        <v>25.940370000000001</v>
      </c>
      <c r="S58" s="6">
        <v>25.940370000000001</v>
      </c>
      <c r="T58" s="6">
        <v>25.885589323834001</v>
      </c>
      <c r="U58" s="6">
        <v>25.885589323834001</v>
      </c>
      <c r="V58" s="6">
        <v>25.885589323834001</v>
      </c>
      <c r="W58" s="6">
        <v>25.885589323834001</v>
      </c>
      <c r="X58" s="6">
        <v>25.885589323834001</v>
      </c>
    </row>
    <row r="59" spans="1:24" x14ac:dyDescent="0.35">
      <c r="A59" s="4">
        <v>51</v>
      </c>
      <c r="B59" s="6">
        <v>16.059999999999999</v>
      </c>
      <c r="C59" s="6">
        <v>16.059999999999999</v>
      </c>
      <c r="D59" s="6">
        <v>16.059999999999999</v>
      </c>
      <c r="E59" s="6">
        <v>18.25</v>
      </c>
      <c r="F59" s="6">
        <v>18.25</v>
      </c>
      <c r="G59" s="6">
        <v>18.25</v>
      </c>
      <c r="H59" s="6">
        <v>19.54</v>
      </c>
      <c r="I59" s="6">
        <v>19.54</v>
      </c>
      <c r="J59" s="6">
        <v>19.54</v>
      </c>
      <c r="K59" s="6">
        <v>24.334379999999999</v>
      </c>
      <c r="L59" s="6">
        <v>24.334379999999999</v>
      </c>
      <c r="M59" s="6">
        <v>24.334379999999999</v>
      </c>
      <c r="N59" s="6">
        <v>24.643439999999998</v>
      </c>
      <c r="O59" s="6">
        <v>24.643439999999998</v>
      </c>
      <c r="P59" s="6">
        <v>24.643439999999998</v>
      </c>
      <c r="Q59" s="6">
        <v>24.643439999999998</v>
      </c>
      <c r="R59" s="6">
        <v>24.643439999999998</v>
      </c>
      <c r="S59" s="6">
        <v>25.54242</v>
      </c>
      <c r="T59" s="6">
        <v>25.449434289182999</v>
      </c>
      <c r="U59" s="6">
        <v>25.449434289182999</v>
      </c>
      <c r="V59" s="6">
        <v>25.449434289182999</v>
      </c>
      <c r="W59" s="6">
        <v>25.449434289182999</v>
      </c>
      <c r="X59" s="6">
        <v>25.449434289182999</v>
      </c>
    </row>
    <row r="60" spans="1:24" x14ac:dyDescent="0.35">
      <c r="A60" s="4">
        <v>52</v>
      </c>
      <c r="B60" s="6">
        <v>15.81</v>
      </c>
      <c r="C60" s="6">
        <v>15.81</v>
      </c>
      <c r="D60" s="6">
        <v>15.81</v>
      </c>
      <c r="E60" s="6">
        <v>18.0045</v>
      </c>
      <c r="F60" s="6">
        <v>18.0045</v>
      </c>
      <c r="G60" s="6">
        <v>18.0045</v>
      </c>
      <c r="H60" s="6">
        <v>19.25</v>
      </c>
      <c r="I60" s="6">
        <v>19.25</v>
      </c>
      <c r="J60" s="6">
        <v>19.25</v>
      </c>
      <c r="K60" s="6">
        <v>24.00957</v>
      </c>
      <c r="L60" s="6">
        <v>24.00957</v>
      </c>
      <c r="M60" s="6">
        <v>24.00957</v>
      </c>
      <c r="N60" s="6">
        <v>24.250599999999999</v>
      </c>
      <c r="O60" s="6">
        <v>24.250599999999999</v>
      </c>
      <c r="P60" s="6">
        <v>24.250599999999999</v>
      </c>
      <c r="Q60" s="6">
        <v>24.250599999999999</v>
      </c>
      <c r="R60" s="6">
        <v>24.250599999999999</v>
      </c>
      <c r="S60" s="6">
        <v>24.250599999999999</v>
      </c>
      <c r="T60" s="6">
        <v>25.007699927202999</v>
      </c>
      <c r="U60" s="6">
        <v>25.007699927202999</v>
      </c>
      <c r="V60" s="6">
        <v>25.007699927202999</v>
      </c>
      <c r="W60" s="6">
        <v>25.007699927202999</v>
      </c>
      <c r="X60" s="6">
        <v>25.007699927202999</v>
      </c>
    </row>
    <row r="61" spans="1:24" x14ac:dyDescent="0.35">
      <c r="A61" s="4">
        <v>53</v>
      </c>
      <c r="B61" s="6">
        <v>15.55</v>
      </c>
      <c r="C61" s="6">
        <v>15.55</v>
      </c>
      <c r="D61" s="6">
        <v>15.55</v>
      </c>
      <c r="E61" s="6">
        <v>17.7517</v>
      </c>
      <c r="F61" s="6">
        <v>17.7517</v>
      </c>
      <c r="G61" s="6">
        <v>17.7517</v>
      </c>
      <c r="H61" s="6">
        <v>18.96</v>
      </c>
      <c r="I61" s="6">
        <v>18.96</v>
      </c>
      <c r="J61" s="6">
        <v>18.96</v>
      </c>
      <c r="K61" s="6">
        <v>23.676690000000001</v>
      </c>
      <c r="L61" s="6">
        <v>23.676690000000001</v>
      </c>
      <c r="M61" s="6">
        <v>23.676690000000001</v>
      </c>
      <c r="N61" s="6">
        <v>23.855039999999999</v>
      </c>
      <c r="O61" s="6">
        <v>23.855039999999999</v>
      </c>
      <c r="P61" s="6">
        <v>23.855039999999999</v>
      </c>
      <c r="Q61" s="6">
        <v>23.855039999999999</v>
      </c>
      <c r="R61" s="6">
        <v>23.855039999999999</v>
      </c>
      <c r="S61" s="6">
        <v>23.855039999999999</v>
      </c>
      <c r="T61" s="6">
        <v>23.772529249887</v>
      </c>
      <c r="U61" s="6">
        <v>24.560409077228002</v>
      </c>
      <c r="V61" s="6">
        <v>24.560409077228002</v>
      </c>
      <c r="W61" s="6">
        <v>24.560409077228002</v>
      </c>
      <c r="X61" s="6">
        <v>24.560409077228002</v>
      </c>
    </row>
    <row r="62" spans="1:24" x14ac:dyDescent="0.35">
      <c r="A62" s="4">
        <v>54</v>
      </c>
      <c r="B62" s="6">
        <v>15.29</v>
      </c>
      <c r="C62" s="6">
        <v>15.29</v>
      </c>
      <c r="D62" s="6">
        <v>15.29</v>
      </c>
      <c r="E62" s="6">
        <v>17.491399999999999</v>
      </c>
      <c r="F62" s="6">
        <v>17.491399999999999</v>
      </c>
      <c r="G62" s="6">
        <v>17.491399999999999</v>
      </c>
      <c r="H62" s="6">
        <v>18.66</v>
      </c>
      <c r="I62" s="6">
        <v>18.66</v>
      </c>
      <c r="J62" s="6">
        <v>18.66</v>
      </c>
      <c r="K62" s="6">
        <v>22.607379999999999</v>
      </c>
      <c r="L62" s="6">
        <v>22.607379999999999</v>
      </c>
      <c r="M62" s="6">
        <v>22.607379999999999</v>
      </c>
      <c r="N62" s="6">
        <v>23.453880000000002</v>
      </c>
      <c r="O62" s="6">
        <v>23.453880000000002</v>
      </c>
      <c r="P62" s="6">
        <v>23.453880000000002</v>
      </c>
      <c r="Q62" s="6">
        <v>23.453880000000002</v>
      </c>
      <c r="R62" s="6">
        <v>23.453880000000002</v>
      </c>
      <c r="S62" s="6">
        <v>23.453880000000002</v>
      </c>
      <c r="T62" s="6">
        <v>23.317764147049999</v>
      </c>
      <c r="U62" s="6">
        <v>23.317764147049999</v>
      </c>
      <c r="V62" s="6">
        <v>24.107863448065999</v>
      </c>
      <c r="W62" s="6">
        <v>24.107863448065999</v>
      </c>
      <c r="X62" s="6">
        <v>24.107863448065999</v>
      </c>
    </row>
    <row r="63" spans="1:24" x14ac:dyDescent="0.35">
      <c r="A63" s="4">
        <v>55</v>
      </c>
      <c r="B63" s="6">
        <v>15.02</v>
      </c>
      <c r="C63" s="6">
        <v>15.02</v>
      </c>
      <c r="D63" s="6">
        <v>15.02</v>
      </c>
      <c r="E63" s="6">
        <v>17.223600000000001</v>
      </c>
      <c r="F63" s="6">
        <v>17.223600000000001</v>
      </c>
      <c r="G63" s="6">
        <v>17.223600000000001</v>
      </c>
      <c r="H63" s="6">
        <v>18.350000000000001</v>
      </c>
      <c r="I63" s="6">
        <v>18.350000000000001</v>
      </c>
      <c r="J63" s="6">
        <v>18.350000000000001</v>
      </c>
      <c r="K63" s="6">
        <v>22.257249999999999</v>
      </c>
      <c r="L63" s="6">
        <v>22.257249999999999</v>
      </c>
      <c r="M63" s="6">
        <v>22.257249999999999</v>
      </c>
      <c r="N63" s="6">
        <v>23.039359999999999</v>
      </c>
      <c r="O63" s="6">
        <v>23.039359999999999</v>
      </c>
      <c r="P63" s="6">
        <v>23.039359999999999</v>
      </c>
      <c r="Q63" s="6">
        <v>23.039359999999999</v>
      </c>
      <c r="R63" s="6">
        <v>23.039359999999999</v>
      </c>
      <c r="S63" s="6">
        <v>23.039359999999999</v>
      </c>
      <c r="T63" s="6">
        <v>22.857945255638001</v>
      </c>
      <c r="U63" s="6">
        <v>22.857945255638001</v>
      </c>
      <c r="V63" s="6">
        <v>22.857945255638001</v>
      </c>
      <c r="W63" s="6">
        <v>23.650417813242001</v>
      </c>
      <c r="X63" s="6">
        <v>23.650417813242001</v>
      </c>
    </row>
    <row r="64" spans="1:24" x14ac:dyDescent="0.35">
      <c r="A64" s="4">
        <v>56</v>
      </c>
      <c r="B64" s="6">
        <v>14.75</v>
      </c>
      <c r="C64" s="6">
        <v>14.75</v>
      </c>
      <c r="D64" s="6">
        <v>14.75</v>
      </c>
      <c r="E64" s="6">
        <v>16.947900000000001</v>
      </c>
      <c r="F64" s="6">
        <v>16.947900000000001</v>
      </c>
      <c r="G64" s="6">
        <v>16.947900000000001</v>
      </c>
      <c r="H64" s="6">
        <v>18.03</v>
      </c>
      <c r="I64" s="6">
        <v>18.03</v>
      </c>
      <c r="J64" s="6">
        <v>18.03</v>
      </c>
      <c r="K64" s="6">
        <v>21.89789</v>
      </c>
      <c r="L64" s="6">
        <v>21.89789</v>
      </c>
      <c r="M64" s="6">
        <v>21.89789</v>
      </c>
      <c r="N64" s="6">
        <v>22.612359999999999</v>
      </c>
      <c r="O64" s="6">
        <v>22.612359999999999</v>
      </c>
      <c r="P64" s="6">
        <v>22.612359999999999</v>
      </c>
      <c r="Q64" s="6">
        <v>22.612359999999999</v>
      </c>
      <c r="R64" s="6">
        <v>22.612359999999999</v>
      </c>
      <c r="S64" s="6">
        <v>22.612359999999999</v>
      </c>
      <c r="T64" s="6">
        <v>22.393672297658998</v>
      </c>
      <c r="U64" s="6">
        <v>22.393672297658998</v>
      </c>
      <c r="V64" s="6">
        <v>22.393672297658998</v>
      </c>
      <c r="W64" s="6">
        <v>22.393672297658998</v>
      </c>
      <c r="X64" s="6">
        <v>23.188141832136999</v>
      </c>
    </row>
    <row r="65" spans="1:24" x14ac:dyDescent="0.35">
      <c r="A65" s="4">
        <v>57</v>
      </c>
      <c r="B65" s="6">
        <v>14.47</v>
      </c>
      <c r="C65" s="6">
        <v>14.47</v>
      </c>
      <c r="D65" s="6">
        <v>14.47</v>
      </c>
      <c r="E65" s="6">
        <v>16.664300000000001</v>
      </c>
      <c r="F65" s="6">
        <v>16.664300000000001</v>
      </c>
      <c r="G65" s="6">
        <v>16.664300000000001</v>
      </c>
      <c r="H65" s="6">
        <v>17.71</v>
      </c>
      <c r="I65" s="6">
        <v>17.71</v>
      </c>
      <c r="J65" s="6">
        <v>17.71</v>
      </c>
      <c r="K65" s="6">
        <v>21.531179999999999</v>
      </c>
      <c r="L65" s="6">
        <v>21.531179999999999</v>
      </c>
      <c r="M65" s="6">
        <v>21.531179999999999</v>
      </c>
      <c r="N65" s="6">
        <v>21.298749999999998</v>
      </c>
      <c r="O65" s="6">
        <v>21.298749999999998</v>
      </c>
      <c r="P65" s="6">
        <v>21.298749999999998</v>
      </c>
      <c r="Q65" s="6">
        <v>22.1843</v>
      </c>
      <c r="R65" s="6">
        <v>22.1843</v>
      </c>
      <c r="S65" s="6">
        <v>22.1843</v>
      </c>
      <c r="T65" s="6">
        <v>21.925381149582002</v>
      </c>
      <c r="U65" s="6">
        <v>21.925381149582002</v>
      </c>
      <c r="V65" s="6">
        <v>21.925381149582002</v>
      </c>
      <c r="W65" s="6">
        <v>21.925381149582002</v>
      </c>
      <c r="X65" s="6">
        <v>21.925381149582002</v>
      </c>
    </row>
    <row r="66" spans="1:24" x14ac:dyDescent="0.35">
      <c r="A66" s="4">
        <v>58</v>
      </c>
      <c r="B66" s="6">
        <v>14.18</v>
      </c>
      <c r="C66" s="6">
        <v>14.18</v>
      </c>
      <c r="D66" s="6">
        <v>14.18</v>
      </c>
      <c r="E66" s="6">
        <v>15.924099999999999</v>
      </c>
      <c r="F66" s="6">
        <v>15.924099999999999</v>
      </c>
      <c r="G66" s="6">
        <v>15.924099999999999</v>
      </c>
      <c r="H66" s="6">
        <v>17.37</v>
      </c>
      <c r="I66" s="6">
        <v>17.37</v>
      </c>
      <c r="J66" s="6">
        <v>17.37</v>
      </c>
      <c r="K66" s="6">
        <v>21.15682</v>
      </c>
      <c r="L66" s="6">
        <v>21.15682</v>
      </c>
      <c r="M66" s="6">
        <v>21.15682</v>
      </c>
      <c r="N66" s="6">
        <v>20.844169999999998</v>
      </c>
      <c r="O66" s="6">
        <v>20.844169999999998</v>
      </c>
      <c r="P66" s="6">
        <v>20.844169999999998</v>
      </c>
      <c r="Q66" s="6">
        <v>21.760649999999998</v>
      </c>
      <c r="R66" s="6">
        <v>21.760649999999998</v>
      </c>
      <c r="S66" s="6">
        <v>21.760649999999998</v>
      </c>
      <c r="T66" s="6">
        <v>21.453223535023</v>
      </c>
      <c r="U66" s="6">
        <v>21.453223535023</v>
      </c>
      <c r="V66" s="6">
        <v>21.453223535023</v>
      </c>
      <c r="W66" s="6">
        <v>21.453223535023</v>
      </c>
      <c r="X66" s="6">
        <v>21.453223535023</v>
      </c>
    </row>
    <row r="67" spans="1:24" x14ac:dyDescent="0.35">
      <c r="A67" s="4">
        <v>59</v>
      </c>
      <c r="B67" s="6">
        <v>13.88</v>
      </c>
      <c r="C67" s="6">
        <v>13.88</v>
      </c>
      <c r="D67" s="6">
        <v>13.88</v>
      </c>
      <c r="E67" s="6">
        <v>15.616</v>
      </c>
      <c r="F67" s="6">
        <v>15.616</v>
      </c>
      <c r="G67" s="6">
        <v>15.616</v>
      </c>
      <c r="H67" s="6">
        <v>17.03</v>
      </c>
      <c r="I67" s="6">
        <v>17.03</v>
      </c>
      <c r="J67" s="6">
        <v>17.03</v>
      </c>
      <c r="K67" s="6">
        <v>20.77582</v>
      </c>
      <c r="L67" s="6">
        <v>20.77582</v>
      </c>
      <c r="M67" s="6">
        <v>20.77582</v>
      </c>
      <c r="N67" s="6">
        <v>20.377079999999999</v>
      </c>
      <c r="O67" s="6">
        <v>20.377079999999999</v>
      </c>
      <c r="P67" s="6">
        <v>20.377079999999999</v>
      </c>
      <c r="Q67" s="6">
        <v>21.32938</v>
      </c>
      <c r="R67" s="6">
        <v>21.32938</v>
      </c>
      <c r="S67" s="6">
        <v>21.32938</v>
      </c>
      <c r="T67" s="6">
        <v>20.977355460681999</v>
      </c>
      <c r="U67" s="6">
        <v>20.977355460681999</v>
      </c>
      <c r="V67" s="6">
        <v>20.977355460681999</v>
      </c>
      <c r="W67" s="6">
        <v>20.977355460681999</v>
      </c>
      <c r="X67" s="6">
        <v>20.977355460681999</v>
      </c>
    </row>
    <row r="68" spans="1:24" x14ac:dyDescent="0.35">
      <c r="A68" s="4">
        <v>60</v>
      </c>
      <c r="B68" s="6">
        <v>13.58</v>
      </c>
      <c r="C68" s="6">
        <v>13.58</v>
      </c>
      <c r="D68" s="6">
        <v>13.58</v>
      </c>
      <c r="E68" s="6">
        <v>15.2995</v>
      </c>
      <c r="F68" s="6">
        <v>15.2995</v>
      </c>
      <c r="G68" s="6">
        <v>15.2995</v>
      </c>
      <c r="H68" s="6">
        <v>16.68</v>
      </c>
      <c r="I68" s="6">
        <v>16.68</v>
      </c>
      <c r="J68" s="6">
        <v>16.68</v>
      </c>
      <c r="K68" s="6">
        <v>20.384</v>
      </c>
      <c r="L68" s="6">
        <v>20.384</v>
      </c>
      <c r="M68" s="6">
        <v>20.384</v>
      </c>
      <c r="N68" s="6">
        <v>19.914300000000001</v>
      </c>
      <c r="O68" s="6">
        <v>19.914300000000001</v>
      </c>
      <c r="P68" s="6">
        <v>19.914300000000001</v>
      </c>
      <c r="Q68" s="6">
        <v>19.914300000000001</v>
      </c>
      <c r="R68" s="6">
        <v>20.88062</v>
      </c>
      <c r="S68" s="6">
        <v>20.88062</v>
      </c>
      <c r="T68" s="6">
        <v>20.497932213247001</v>
      </c>
      <c r="U68" s="6">
        <v>20.497932213247001</v>
      </c>
      <c r="V68" s="6">
        <v>20.497932213247001</v>
      </c>
      <c r="W68" s="6">
        <v>20.497932213247001</v>
      </c>
      <c r="X68" s="6">
        <v>20.497932213247001</v>
      </c>
    </row>
    <row r="69" spans="1:24" x14ac:dyDescent="0.35">
      <c r="A69" s="4">
        <v>61</v>
      </c>
      <c r="B69" s="6">
        <v>13.28</v>
      </c>
      <c r="C69" s="6">
        <v>13.28</v>
      </c>
      <c r="D69" s="6">
        <v>13.28</v>
      </c>
      <c r="E69" s="6">
        <v>14.974299999999999</v>
      </c>
      <c r="F69" s="6">
        <v>14.974299999999999</v>
      </c>
      <c r="G69" s="6">
        <v>14.974299999999999</v>
      </c>
      <c r="H69" s="6">
        <v>15.8</v>
      </c>
      <c r="I69" s="6">
        <v>15.8</v>
      </c>
      <c r="J69" s="6">
        <v>15.8</v>
      </c>
      <c r="K69" s="6">
        <v>19.97006</v>
      </c>
      <c r="L69" s="6">
        <v>19.97006</v>
      </c>
      <c r="M69" s="6">
        <v>19.97006</v>
      </c>
      <c r="N69" s="6">
        <v>19.468889999999998</v>
      </c>
      <c r="O69" s="6">
        <v>19.468889999999998</v>
      </c>
      <c r="P69" s="6">
        <v>19.468889999999998</v>
      </c>
      <c r="Q69" s="6">
        <v>19.468889999999998</v>
      </c>
      <c r="R69" s="6">
        <v>19.468889999999998</v>
      </c>
      <c r="S69" s="6">
        <v>20.426780000000001</v>
      </c>
      <c r="T69" s="6">
        <v>20.01505545198</v>
      </c>
      <c r="U69" s="6">
        <v>20.01505545198</v>
      </c>
      <c r="V69" s="6">
        <v>20.01505545198</v>
      </c>
      <c r="W69" s="6">
        <v>20.01505545198</v>
      </c>
      <c r="X69" s="6">
        <v>20.01505545198</v>
      </c>
    </row>
    <row r="70" spans="1:24" x14ac:dyDescent="0.35">
      <c r="A70" s="4">
        <v>62</v>
      </c>
      <c r="B70" s="6">
        <v>12.97</v>
      </c>
      <c r="C70" s="6">
        <v>12.97</v>
      </c>
      <c r="D70" s="6">
        <v>12.97</v>
      </c>
      <c r="E70" s="6">
        <v>14.6404</v>
      </c>
      <c r="F70" s="6">
        <v>14.6404</v>
      </c>
      <c r="G70" s="6">
        <v>14.6404</v>
      </c>
      <c r="H70" s="6">
        <v>15.43</v>
      </c>
      <c r="I70" s="6">
        <v>15.43</v>
      </c>
      <c r="J70" s="6">
        <v>15.43</v>
      </c>
      <c r="K70" s="6">
        <v>19.54513</v>
      </c>
      <c r="L70" s="6">
        <v>19.54513</v>
      </c>
      <c r="M70" s="6">
        <v>19.54513</v>
      </c>
      <c r="N70" s="6">
        <v>19.01876</v>
      </c>
      <c r="O70" s="6">
        <v>19.01876</v>
      </c>
      <c r="P70" s="6">
        <v>19.01876</v>
      </c>
      <c r="Q70" s="6">
        <v>19.01876</v>
      </c>
      <c r="R70" s="6">
        <v>19.01876</v>
      </c>
      <c r="S70" s="6">
        <v>19.01876</v>
      </c>
      <c r="T70" s="6">
        <v>19.528799718586001</v>
      </c>
      <c r="U70" s="6">
        <v>19.528799718586001</v>
      </c>
      <c r="V70" s="6">
        <v>19.528799718586001</v>
      </c>
      <c r="W70" s="6">
        <v>19.528799718586001</v>
      </c>
      <c r="X70" s="6">
        <v>19.528799718586001</v>
      </c>
    </row>
    <row r="71" spans="1:24" x14ac:dyDescent="0.35">
      <c r="A71" s="4">
        <v>63</v>
      </c>
      <c r="B71" s="6">
        <v>12.65</v>
      </c>
      <c r="C71" s="6">
        <v>12.65</v>
      </c>
      <c r="D71" s="6">
        <v>12.65</v>
      </c>
      <c r="E71" s="6">
        <v>14.2973</v>
      </c>
      <c r="F71" s="6">
        <v>14.2973</v>
      </c>
      <c r="G71" s="6">
        <v>14.2973</v>
      </c>
      <c r="H71" s="6">
        <v>15.04</v>
      </c>
      <c r="I71" s="6">
        <v>15.04</v>
      </c>
      <c r="J71" s="6">
        <v>15.04</v>
      </c>
      <c r="K71" s="6">
        <v>19.115220000000001</v>
      </c>
      <c r="L71" s="6">
        <v>19.115220000000001</v>
      </c>
      <c r="M71" s="6">
        <v>19.115220000000001</v>
      </c>
      <c r="N71" s="6">
        <v>18.56559</v>
      </c>
      <c r="O71" s="6">
        <v>18.56559</v>
      </c>
      <c r="P71" s="6">
        <v>18.56559</v>
      </c>
      <c r="Q71" s="6">
        <v>18.56559</v>
      </c>
      <c r="R71" s="6">
        <v>18.56559</v>
      </c>
      <c r="S71" s="6">
        <v>18.56559</v>
      </c>
      <c r="T71" s="6">
        <v>18.176834117946999</v>
      </c>
      <c r="U71" s="6">
        <v>19.039291148808999</v>
      </c>
      <c r="V71" s="6">
        <v>19.039291148808999</v>
      </c>
      <c r="W71" s="6">
        <v>19.039291148808999</v>
      </c>
      <c r="X71" s="6">
        <v>19.039291148808999</v>
      </c>
    </row>
    <row r="72" spans="1:24" x14ac:dyDescent="0.35">
      <c r="A72" s="4">
        <v>64</v>
      </c>
      <c r="B72" s="6">
        <v>12.33</v>
      </c>
      <c r="C72" s="6">
        <v>12.33</v>
      </c>
      <c r="D72" s="6">
        <v>12.33</v>
      </c>
      <c r="E72" s="6">
        <v>13.944800000000001</v>
      </c>
      <c r="F72" s="6">
        <v>13.944800000000001</v>
      </c>
      <c r="G72" s="6">
        <v>13.944800000000001</v>
      </c>
      <c r="H72" s="6">
        <v>14.65</v>
      </c>
      <c r="I72" s="6">
        <v>14.65</v>
      </c>
      <c r="J72" s="6">
        <v>14.65</v>
      </c>
      <c r="K72" s="6">
        <v>17.84084</v>
      </c>
      <c r="L72" s="6">
        <v>17.84084</v>
      </c>
      <c r="M72" s="6">
        <v>17.84084</v>
      </c>
      <c r="N72" s="6">
        <v>18.111999999999998</v>
      </c>
      <c r="O72" s="6">
        <v>18.111999999999998</v>
      </c>
      <c r="P72" s="6">
        <v>18.111999999999998</v>
      </c>
      <c r="Q72" s="6">
        <v>18.111999999999998</v>
      </c>
      <c r="R72" s="6">
        <v>18.111999999999998</v>
      </c>
      <c r="S72" s="6">
        <v>18.111999999999998</v>
      </c>
      <c r="T72" s="6">
        <v>17.689612450721999</v>
      </c>
      <c r="U72" s="6">
        <v>17.689612450721999</v>
      </c>
      <c r="V72" s="6">
        <v>18.545758212479001</v>
      </c>
      <c r="W72" s="6">
        <v>18.545758212479001</v>
      </c>
      <c r="X72" s="6">
        <v>18.545758212479001</v>
      </c>
    </row>
    <row r="73" spans="1:24" x14ac:dyDescent="0.35">
      <c r="A73" s="4">
        <v>65</v>
      </c>
      <c r="B73" s="6">
        <v>12</v>
      </c>
      <c r="C73" s="6">
        <v>12</v>
      </c>
      <c r="D73" s="6">
        <v>12</v>
      </c>
      <c r="E73" s="6">
        <v>13.582700000000001</v>
      </c>
      <c r="F73" s="6">
        <v>13.582700000000001</v>
      </c>
      <c r="G73" s="6">
        <v>13.582700000000001</v>
      </c>
      <c r="H73" s="6">
        <v>14.25</v>
      </c>
      <c r="I73" s="6">
        <v>14.25</v>
      </c>
      <c r="J73" s="6">
        <v>14.25</v>
      </c>
      <c r="K73" s="6">
        <v>17.39601</v>
      </c>
      <c r="L73" s="6">
        <v>17.39601</v>
      </c>
      <c r="M73" s="6">
        <v>17.39601</v>
      </c>
      <c r="N73" s="6">
        <v>17.635470000000002</v>
      </c>
      <c r="O73" s="6">
        <v>17.635470000000002</v>
      </c>
      <c r="P73" s="6">
        <v>17.635470000000002</v>
      </c>
      <c r="Q73" s="6">
        <v>17.635470000000002</v>
      </c>
      <c r="R73" s="6">
        <v>17.635470000000002</v>
      </c>
      <c r="S73" s="6">
        <v>17.635470000000002</v>
      </c>
      <c r="T73" s="6">
        <v>17.198800847158999</v>
      </c>
      <c r="U73" s="6">
        <v>17.198800847158999</v>
      </c>
      <c r="V73" s="6">
        <v>17.198800847158999</v>
      </c>
      <c r="W73" s="6">
        <v>18.047033581528002</v>
      </c>
      <c r="X73" s="6">
        <v>18.047033581528002</v>
      </c>
    </row>
    <row r="74" spans="1:24" x14ac:dyDescent="0.35">
      <c r="A74" s="4">
        <v>66</v>
      </c>
      <c r="B74" s="6">
        <v>11.67</v>
      </c>
      <c r="C74" s="6">
        <v>11.67</v>
      </c>
      <c r="D74" s="6">
        <v>11.67</v>
      </c>
      <c r="E74" s="6">
        <v>13.210699999999999</v>
      </c>
      <c r="F74" s="6">
        <v>13.210699999999999</v>
      </c>
      <c r="G74" s="6">
        <v>13.210699999999999</v>
      </c>
      <c r="H74" s="6">
        <v>13.84</v>
      </c>
      <c r="I74" s="6">
        <v>13.84</v>
      </c>
      <c r="J74" s="6">
        <v>13.84</v>
      </c>
      <c r="K74" s="6">
        <v>16.931270000000001</v>
      </c>
      <c r="L74" s="6">
        <v>16.931270000000001</v>
      </c>
      <c r="M74" s="6">
        <v>16.931270000000001</v>
      </c>
      <c r="N74" s="6">
        <v>17.136569999999999</v>
      </c>
      <c r="O74" s="6">
        <v>17.136569999999999</v>
      </c>
      <c r="P74" s="6">
        <v>17.136569999999999</v>
      </c>
      <c r="Q74" s="6">
        <v>17.136569999999999</v>
      </c>
      <c r="R74" s="6">
        <v>17.136569999999999</v>
      </c>
      <c r="S74" s="6">
        <v>17.136569999999999</v>
      </c>
      <c r="T74" s="6">
        <v>16.703876884208999</v>
      </c>
      <c r="U74" s="6">
        <v>16.703876884208999</v>
      </c>
      <c r="V74" s="6">
        <v>16.703876884208999</v>
      </c>
      <c r="W74" s="6">
        <v>16.703876884208999</v>
      </c>
      <c r="X74" s="6">
        <v>17.542585956448001</v>
      </c>
    </row>
    <row r="75" spans="1:24" x14ac:dyDescent="0.35">
      <c r="A75" s="4">
        <v>67</v>
      </c>
      <c r="B75" s="6">
        <v>11.34</v>
      </c>
      <c r="C75" s="6">
        <v>11.34</v>
      </c>
      <c r="D75" s="6">
        <v>11.34</v>
      </c>
      <c r="E75" s="6">
        <v>12.8283</v>
      </c>
      <c r="F75" s="6">
        <v>12.8283</v>
      </c>
      <c r="G75" s="6">
        <v>12.8283</v>
      </c>
      <c r="H75" s="6">
        <v>13.42</v>
      </c>
      <c r="I75" s="6">
        <v>13.42</v>
      </c>
      <c r="J75" s="6">
        <v>13.42</v>
      </c>
      <c r="K75" s="6">
        <v>16.449940000000002</v>
      </c>
      <c r="L75" s="6">
        <v>16.449940000000002</v>
      </c>
      <c r="M75" s="6">
        <v>16.449940000000002</v>
      </c>
      <c r="N75" s="6">
        <v>15.6823</v>
      </c>
      <c r="O75" s="6">
        <v>15.6823</v>
      </c>
      <c r="P75" s="6">
        <v>15.6823</v>
      </c>
      <c r="Q75" s="6">
        <v>16.637</v>
      </c>
      <c r="R75" s="6">
        <v>16.637</v>
      </c>
      <c r="S75" s="6">
        <v>16.637</v>
      </c>
      <c r="T75" s="6">
        <v>16.204354435498001</v>
      </c>
      <c r="U75" s="6">
        <v>16.204354435498001</v>
      </c>
      <c r="V75" s="6">
        <v>16.204354435498001</v>
      </c>
      <c r="W75" s="6">
        <v>16.204354435498001</v>
      </c>
      <c r="X75" s="6">
        <v>16.204354435498001</v>
      </c>
    </row>
    <row r="76" spans="1:24" x14ac:dyDescent="0.35">
      <c r="A76" s="4">
        <v>68</v>
      </c>
      <c r="B76" s="6">
        <v>11</v>
      </c>
      <c r="C76" s="6">
        <v>11</v>
      </c>
      <c r="D76" s="6">
        <v>11</v>
      </c>
      <c r="E76" s="6">
        <v>11.8908</v>
      </c>
      <c r="F76" s="6">
        <v>11.8908</v>
      </c>
      <c r="G76" s="6">
        <v>11.8908</v>
      </c>
      <c r="H76" s="6">
        <v>13</v>
      </c>
      <c r="I76" s="6">
        <v>13</v>
      </c>
      <c r="J76" s="6">
        <v>13</v>
      </c>
      <c r="K76" s="6">
        <v>15.96125</v>
      </c>
      <c r="L76" s="6">
        <v>15.96125</v>
      </c>
      <c r="M76" s="6">
        <v>15.96125</v>
      </c>
      <c r="N76" s="6">
        <v>15.18487</v>
      </c>
      <c r="O76" s="6">
        <v>15.18487</v>
      </c>
      <c r="P76" s="6">
        <v>15.18487</v>
      </c>
      <c r="Q76" s="6">
        <v>16.144400000000001</v>
      </c>
      <c r="R76" s="6">
        <v>16.144400000000001</v>
      </c>
      <c r="S76" s="6">
        <v>16.144400000000001</v>
      </c>
      <c r="T76" s="6">
        <v>15.699950412491001</v>
      </c>
      <c r="U76" s="6">
        <v>15.699950412491001</v>
      </c>
      <c r="V76" s="6">
        <v>15.699950412491001</v>
      </c>
      <c r="W76" s="6">
        <v>15.699950412491001</v>
      </c>
      <c r="X76" s="6">
        <v>15.699950412491001</v>
      </c>
    </row>
    <row r="77" spans="1:24" x14ac:dyDescent="0.35">
      <c r="A77" s="4">
        <v>69</v>
      </c>
      <c r="B77" s="6">
        <v>10.66</v>
      </c>
      <c r="C77" s="6">
        <v>10.66</v>
      </c>
      <c r="D77" s="6">
        <v>10.66</v>
      </c>
      <c r="E77" s="6">
        <v>11.480700000000001</v>
      </c>
      <c r="F77" s="6">
        <v>11.480700000000001</v>
      </c>
      <c r="G77" s="6">
        <v>11.480700000000001</v>
      </c>
      <c r="H77" s="6">
        <v>12.56</v>
      </c>
      <c r="I77" s="6">
        <v>12.56</v>
      </c>
      <c r="J77" s="6">
        <v>12.56</v>
      </c>
      <c r="K77" s="6">
        <v>15.47003</v>
      </c>
      <c r="L77" s="6">
        <v>15.47003</v>
      </c>
      <c r="M77" s="6">
        <v>15.47003</v>
      </c>
      <c r="N77" s="6">
        <v>14.68234</v>
      </c>
      <c r="O77" s="6">
        <v>14.68234</v>
      </c>
      <c r="P77" s="6">
        <v>14.68234</v>
      </c>
      <c r="Q77" s="6">
        <v>15.63673</v>
      </c>
      <c r="R77" s="6">
        <v>15.63673</v>
      </c>
      <c r="S77" s="6">
        <v>15.63673</v>
      </c>
      <c r="T77" s="6">
        <v>15.190343392347</v>
      </c>
      <c r="U77" s="6">
        <v>15.190343392347</v>
      </c>
      <c r="V77" s="6">
        <v>15.190343392347</v>
      </c>
      <c r="W77" s="6">
        <v>15.190343392347</v>
      </c>
      <c r="X77" s="6">
        <v>15.190343392347</v>
      </c>
    </row>
    <row r="78" spans="1:24" x14ac:dyDescent="0.35">
      <c r="A78" s="4">
        <v>70</v>
      </c>
      <c r="B78" s="6">
        <v>10.32</v>
      </c>
      <c r="C78" s="6">
        <v>10.32</v>
      </c>
      <c r="D78" s="6">
        <v>10.32</v>
      </c>
      <c r="E78" s="6">
        <v>11.0777</v>
      </c>
      <c r="F78" s="6">
        <v>11.0777</v>
      </c>
      <c r="G78" s="6">
        <v>11.0777</v>
      </c>
      <c r="H78" s="6">
        <v>12.12</v>
      </c>
      <c r="I78" s="6">
        <v>12.12</v>
      </c>
      <c r="J78" s="6">
        <v>12.12</v>
      </c>
      <c r="K78" s="6">
        <v>14.97156</v>
      </c>
      <c r="L78" s="6">
        <v>14.97156</v>
      </c>
      <c r="M78" s="6">
        <v>14.97156</v>
      </c>
      <c r="N78" s="6">
        <v>14.18276</v>
      </c>
      <c r="O78" s="6">
        <v>14.18276</v>
      </c>
      <c r="P78" s="6">
        <v>14.18276</v>
      </c>
      <c r="Q78" s="6">
        <v>14.18276</v>
      </c>
      <c r="R78" s="6">
        <v>15.11849</v>
      </c>
      <c r="S78" s="6">
        <v>15.11849</v>
      </c>
      <c r="T78" s="6">
        <v>14.675810006443999</v>
      </c>
      <c r="U78" s="6">
        <v>14.675810006443999</v>
      </c>
      <c r="V78" s="6">
        <v>14.675810006443999</v>
      </c>
      <c r="W78" s="6">
        <v>14.675810006443999</v>
      </c>
      <c r="X78" s="6">
        <v>14.675810006443999</v>
      </c>
    </row>
    <row r="79" spans="1:24" x14ac:dyDescent="0.35">
      <c r="A79" s="4">
        <v>71</v>
      </c>
      <c r="B79" s="6">
        <v>9.9700000000000006</v>
      </c>
      <c r="C79" s="6">
        <v>9.9700000000000006</v>
      </c>
      <c r="D79" s="6">
        <v>9.9700000000000006</v>
      </c>
      <c r="E79" s="6">
        <v>10.6889</v>
      </c>
      <c r="F79" s="6">
        <v>10.6889</v>
      </c>
      <c r="G79" s="6">
        <v>10.6889</v>
      </c>
      <c r="H79" s="6">
        <v>11.11</v>
      </c>
      <c r="I79" s="6">
        <v>11.11</v>
      </c>
      <c r="J79" s="6">
        <v>11.11</v>
      </c>
      <c r="K79" s="6">
        <v>14.46156</v>
      </c>
      <c r="L79" s="6">
        <v>14.46156</v>
      </c>
      <c r="M79" s="6">
        <v>14.46156</v>
      </c>
      <c r="N79" s="6">
        <v>13.68435</v>
      </c>
      <c r="O79" s="6">
        <v>13.68435</v>
      </c>
      <c r="P79" s="6">
        <v>13.68435</v>
      </c>
      <c r="Q79" s="6">
        <v>13.68435</v>
      </c>
      <c r="R79" s="6">
        <v>13.68435</v>
      </c>
      <c r="S79" s="6">
        <v>14.599130000000001</v>
      </c>
      <c r="T79" s="6">
        <v>14.156623062902</v>
      </c>
      <c r="U79" s="6">
        <v>14.156623062902</v>
      </c>
      <c r="V79" s="6">
        <v>14.156623062902</v>
      </c>
      <c r="W79" s="6">
        <v>14.156623062902</v>
      </c>
      <c r="X79" s="6">
        <v>14.156623062902</v>
      </c>
    </row>
    <row r="80" spans="1:24" x14ac:dyDescent="0.35">
      <c r="A80" s="4">
        <v>72</v>
      </c>
      <c r="B80" s="6">
        <v>9.6300000000000008</v>
      </c>
      <c r="C80" s="6">
        <v>9.6300000000000008</v>
      </c>
      <c r="D80" s="6">
        <v>9.6300000000000008</v>
      </c>
      <c r="E80" s="6">
        <v>10.2987</v>
      </c>
      <c r="F80" s="6">
        <v>10.2987</v>
      </c>
      <c r="G80" s="6">
        <v>10.2987</v>
      </c>
      <c r="H80" s="6">
        <v>10.69</v>
      </c>
      <c r="I80" s="6">
        <v>10.69</v>
      </c>
      <c r="J80" s="6">
        <v>10.69</v>
      </c>
      <c r="K80" s="6">
        <v>13.95008</v>
      </c>
      <c r="L80" s="6">
        <v>13.95008</v>
      </c>
      <c r="M80" s="6">
        <v>13.95008</v>
      </c>
      <c r="N80" s="6">
        <v>13.170260000000001</v>
      </c>
      <c r="O80" s="6">
        <v>13.170260000000001</v>
      </c>
      <c r="P80" s="6">
        <v>13.170260000000001</v>
      </c>
      <c r="Q80" s="6">
        <v>13.170260000000001</v>
      </c>
      <c r="R80" s="6">
        <v>13.170260000000001</v>
      </c>
      <c r="S80" s="6">
        <v>13.170260000000001</v>
      </c>
      <c r="T80" s="6">
        <v>13.632422678796001</v>
      </c>
      <c r="U80" s="6">
        <v>13.632422678796001</v>
      </c>
      <c r="V80" s="6">
        <v>13.632422678796001</v>
      </c>
      <c r="W80" s="6">
        <v>13.632422678796001</v>
      </c>
      <c r="X80" s="6">
        <v>13.632422678796001</v>
      </c>
    </row>
    <row r="81" spans="1:24" x14ac:dyDescent="0.35">
      <c r="A81" s="4">
        <v>73</v>
      </c>
      <c r="B81" s="6">
        <v>9.2799999999999994</v>
      </c>
      <c r="C81" s="6">
        <v>9.2799999999999994</v>
      </c>
      <c r="D81" s="6">
        <v>9.2799999999999994</v>
      </c>
      <c r="E81" s="6">
        <v>9.9078999999999997</v>
      </c>
      <c r="F81" s="6">
        <v>9.9078999999999997</v>
      </c>
      <c r="G81" s="6">
        <v>9.9078999999999997</v>
      </c>
      <c r="H81" s="6">
        <v>10.27</v>
      </c>
      <c r="I81" s="6">
        <v>10.27</v>
      </c>
      <c r="J81" s="6">
        <v>10.27</v>
      </c>
      <c r="K81" s="6">
        <v>13.43277</v>
      </c>
      <c r="L81" s="6">
        <v>13.43277</v>
      </c>
      <c r="M81" s="6">
        <v>13.43277</v>
      </c>
      <c r="N81" s="6">
        <v>12.6486</v>
      </c>
      <c r="O81" s="6">
        <v>12.6486</v>
      </c>
      <c r="P81" s="6">
        <v>12.6486</v>
      </c>
      <c r="Q81" s="6">
        <v>12.6486</v>
      </c>
      <c r="R81" s="6">
        <v>12.6486</v>
      </c>
      <c r="S81" s="6">
        <v>12.6486</v>
      </c>
      <c r="T81" s="6">
        <v>12.323399489137</v>
      </c>
      <c r="U81" s="6">
        <v>13.103551874709</v>
      </c>
      <c r="V81" s="6">
        <v>13.103551874709</v>
      </c>
      <c r="W81" s="6">
        <v>13.103551874709</v>
      </c>
      <c r="X81" s="6">
        <v>13.103551874709</v>
      </c>
    </row>
    <row r="82" spans="1:24" x14ac:dyDescent="0.35">
      <c r="A82" s="4">
        <v>74</v>
      </c>
      <c r="B82" s="6">
        <v>8.93</v>
      </c>
      <c r="C82" s="6">
        <v>8.93</v>
      </c>
      <c r="D82" s="6">
        <v>8.93</v>
      </c>
      <c r="E82" s="6">
        <v>9.5173000000000005</v>
      </c>
      <c r="F82" s="6">
        <v>9.5173000000000005</v>
      </c>
      <c r="G82" s="6">
        <v>9.5173000000000005</v>
      </c>
      <c r="H82" s="6">
        <v>9.85</v>
      </c>
      <c r="I82" s="6">
        <v>9.85</v>
      </c>
      <c r="J82" s="6">
        <v>9.85</v>
      </c>
      <c r="K82" s="6">
        <v>12.057090000000001</v>
      </c>
      <c r="L82" s="6">
        <v>12.057090000000001</v>
      </c>
      <c r="M82" s="6">
        <v>12.057090000000001</v>
      </c>
      <c r="N82" s="6">
        <v>12.13847</v>
      </c>
      <c r="O82" s="6">
        <v>12.13847</v>
      </c>
      <c r="P82" s="6">
        <v>12.13847</v>
      </c>
      <c r="Q82" s="6">
        <v>12.13847</v>
      </c>
      <c r="R82" s="6">
        <v>12.13847</v>
      </c>
      <c r="S82" s="6">
        <v>12.13847</v>
      </c>
      <c r="T82" s="6">
        <v>11.812105061499</v>
      </c>
      <c r="U82" s="6">
        <v>11.812105061499</v>
      </c>
      <c r="V82" s="6">
        <v>12.571172302605</v>
      </c>
      <c r="W82" s="6">
        <v>12.571172302605</v>
      </c>
      <c r="X82" s="6">
        <v>12.571172302605</v>
      </c>
    </row>
    <row r="83" spans="1:24" x14ac:dyDescent="0.35">
      <c r="A83" s="4">
        <v>75</v>
      </c>
      <c r="B83" s="6">
        <v>8.59</v>
      </c>
      <c r="C83" s="6">
        <v>8.59</v>
      </c>
      <c r="D83" s="6">
        <v>8.59</v>
      </c>
      <c r="E83" s="6">
        <v>9.1275999999999993</v>
      </c>
      <c r="F83" s="6">
        <v>9.1275999999999993</v>
      </c>
      <c r="G83" s="6">
        <v>9.1275999999999993</v>
      </c>
      <c r="H83" s="6">
        <v>9.43</v>
      </c>
      <c r="I83" s="6">
        <v>9.43</v>
      </c>
      <c r="J83" s="6">
        <v>9.43</v>
      </c>
      <c r="K83" s="6">
        <v>11.541969999999999</v>
      </c>
      <c r="L83" s="6">
        <v>11.541969999999999</v>
      </c>
      <c r="M83" s="6">
        <v>11.541969999999999</v>
      </c>
      <c r="N83" s="6">
        <v>11.633800000000001</v>
      </c>
      <c r="O83" s="6">
        <v>11.633800000000001</v>
      </c>
      <c r="P83" s="6">
        <v>11.633800000000001</v>
      </c>
      <c r="Q83" s="6">
        <v>11.633800000000001</v>
      </c>
      <c r="R83" s="6">
        <v>11.633800000000001</v>
      </c>
      <c r="S83" s="6">
        <v>11.633800000000001</v>
      </c>
      <c r="T83" s="6">
        <v>11.302014511831</v>
      </c>
      <c r="U83" s="6">
        <v>11.302014511831</v>
      </c>
      <c r="V83" s="6">
        <v>11.302014511831</v>
      </c>
      <c r="W83" s="6">
        <v>12.035935615326</v>
      </c>
      <c r="X83" s="6">
        <v>12.035935615326</v>
      </c>
    </row>
    <row r="84" spans="1:24" x14ac:dyDescent="0.35">
      <c r="A84" s="4">
        <v>76</v>
      </c>
      <c r="B84" s="6">
        <v>8.25</v>
      </c>
      <c r="C84" s="6">
        <v>8.25</v>
      </c>
      <c r="D84" s="6">
        <v>8.25</v>
      </c>
      <c r="E84" s="6">
        <v>8.7394999999999996</v>
      </c>
      <c r="F84" s="6">
        <v>8.7394999999999996</v>
      </c>
      <c r="G84" s="6">
        <v>8.7394999999999996</v>
      </c>
      <c r="H84" s="6">
        <v>9.02</v>
      </c>
      <c r="I84" s="6">
        <v>9.02</v>
      </c>
      <c r="J84" s="6">
        <v>9.02</v>
      </c>
      <c r="K84" s="6">
        <v>11.017379999999999</v>
      </c>
      <c r="L84" s="6">
        <v>11.017379999999999</v>
      </c>
      <c r="M84" s="6">
        <v>11.017379999999999</v>
      </c>
      <c r="N84" s="6">
        <v>11.11956</v>
      </c>
      <c r="O84" s="6">
        <v>11.11956</v>
      </c>
      <c r="P84" s="6">
        <v>11.11956</v>
      </c>
      <c r="Q84" s="6">
        <v>11.11956</v>
      </c>
      <c r="R84" s="6">
        <v>11.11956</v>
      </c>
      <c r="S84" s="6">
        <v>11.11956</v>
      </c>
      <c r="T84" s="6">
        <v>10.792520407725</v>
      </c>
      <c r="U84" s="6">
        <v>10.792520407725</v>
      </c>
      <c r="V84" s="6">
        <v>10.792520407725</v>
      </c>
      <c r="W84" s="6">
        <v>10.792520407725</v>
      </c>
      <c r="X84" s="6">
        <v>11.498509992302999</v>
      </c>
    </row>
    <row r="85" spans="1:24" x14ac:dyDescent="0.35">
      <c r="A85" s="4">
        <v>77</v>
      </c>
      <c r="B85" s="6">
        <v>7.9</v>
      </c>
      <c r="C85" s="6">
        <v>7.9</v>
      </c>
      <c r="D85" s="6">
        <v>7.9</v>
      </c>
      <c r="E85" s="6">
        <v>8.3539999999999992</v>
      </c>
      <c r="F85" s="6">
        <v>8.3539999999999992</v>
      </c>
      <c r="G85" s="6">
        <v>8.3539999999999992</v>
      </c>
      <c r="H85" s="6">
        <v>8.61</v>
      </c>
      <c r="I85" s="6">
        <v>8.61</v>
      </c>
      <c r="J85" s="6">
        <v>8.61</v>
      </c>
      <c r="K85" s="6">
        <v>10.49874</v>
      </c>
      <c r="L85" s="6">
        <v>10.49874</v>
      </c>
      <c r="M85" s="6">
        <v>10.49874</v>
      </c>
      <c r="N85" s="6">
        <v>9.7809399999999993</v>
      </c>
      <c r="O85" s="6">
        <v>9.7809399999999993</v>
      </c>
      <c r="P85" s="6">
        <v>9.7809399999999993</v>
      </c>
      <c r="Q85" s="6">
        <v>10.6065</v>
      </c>
      <c r="R85" s="6">
        <v>10.6065</v>
      </c>
      <c r="S85" s="6">
        <v>10.6065</v>
      </c>
      <c r="T85" s="6">
        <v>10.282919861819</v>
      </c>
      <c r="U85" s="6">
        <v>10.282919861819</v>
      </c>
      <c r="V85" s="6">
        <v>10.282919861819</v>
      </c>
      <c r="W85" s="6">
        <v>10.282919861819</v>
      </c>
      <c r="X85" s="6">
        <v>10.282919861819</v>
      </c>
    </row>
    <row r="86" spans="1:24" x14ac:dyDescent="0.35">
      <c r="A86" s="4">
        <v>78</v>
      </c>
      <c r="B86" s="6">
        <v>7.57</v>
      </c>
      <c r="C86" s="6">
        <v>7.57</v>
      </c>
      <c r="D86" s="6">
        <v>7.57</v>
      </c>
      <c r="E86" s="6">
        <v>7.9718999999999998</v>
      </c>
      <c r="F86" s="6">
        <v>7.9718999999999998</v>
      </c>
      <c r="G86" s="6">
        <v>7.9718999999999998</v>
      </c>
      <c r="H86" s="6">
        <v>8.2100000000000009</v>
      </c>
      <c r="I86" s="6">
        <v>8.2100000000000009</v>
      </c>
      <c r="J86" s="6">
        <v>8.2100000000000009</v>
      </c>
      <c r="K86" s="6">
        <v>9.9988700000000001</v>
      </c>
      <c r="L86" s="6">
        <v>9.9988700000000001</v>
      </c>
      <c r="M86" s="6">
        <v>9.9988700000000001</v>
      </c>
      <c r="N86" s="6">
        <v>9.3059200000000004</v>
      </c>
      <c r="O86" s="6">
        <v>9.3059200000000004</v>
      </c>
      <c r="P86" s="6">
        <v>9.3059200000000004</v>
      </c>
      <c r="Q86" s="6">
        <v>10.100709999999999</v>
      </c>
      <c r="R86" s="6">
        <v>10.100709999999999</v>
      </c>
      <c r="S86" s="6">
        <v>10.100709999999999</v>
      </c>
      <c r="T86" s="6">
        <v>9.7740868718253999</v>
      </c>
      <c r="U86" s="6">
        <v>9.7740868718253999</v>
      </c>
      <c r="V86" s="6">
        <v>9.7740868718253999</v>
      </c>
      <c r="W86" s="6">
        <v>9.7740868718253999</v>
      </c>
      <c r="X86" s="6">
        <v>9.7740868718253999</v>
      </c>
    </row>
    <row r="87" spans="1:24" x14ac:dyDescent="0.35">
      <c r="A87" s="4">
        <v>79</v>
      </c>
      <c r="B87" s="6">
        <v>7.23</v>
      </c>
      <c r="C87" s="6">
        <v>7.23</v>
      </c>
      <c r="D87" s="6">
        <v>7.23</v>
      </c>
      <c r="E87" s="6">
        <v>7.5938999999999997</v>
      </c>
      <c r="F87" s="6">
        <v>7.5938999999999997</v>
      </c>
      <c r="G87" s="6">
        <v>7.5938999999999997</v>
      </c>
      <c r="H87" s="6">
        <v>7.81</v>
      </c>
      <c r="I87" s="6">
        <v>7.81</v>
      </c>
      <c r="J87" s="6">
        <v>7.81</v>
      </c>
      <c r="K87" s="6">
        <v>9.4955599999999993</v>
      </c>
      <c r="L87" s="6">
        <v>9.4955599999999993</v>
      </c>
      <c r="M87" s="6">
        <v>9.4955599999999993</v>
      </c>
      <c r="N87" s="6">
        <v>8.83521</v>
      </c>
      <c r="O87" s="6">
        <v>8.83521</v>
      </c>
      <c r="P87" s="6">
        <v>8.83521</v>
      </c>
      <c r="Q87" s="6">
        <v>9.5962099999999992</v>
      </c>
      <c r="R87" s="6">
        <v>9.5962099999999992</v>
      </c>
      <c r="S87" s="6">
        <v>9.5962099999999992</v>
      </c>
      <c r="T87" s="6">
        <v>9.2680374776899992</v>
      </c>
      <c r="U87" s="6">
        <v>9.2680374776899992</v>
      </c>
      <c r="V87" s="6">
        <v>9.2680374776899992</v>
      </c>
      <c r="W87" s="6">
        <v>9.2680374776899992</v>
      </c>
      <c r="X87" s="6">
        <v>9.2680374776899992</v>
      </c>
    </row>
    <row r="88" spans="1:24" x14ac:dyDescent="0.35">
      <c r="A88" s="4">
        <v>80</v>
      </c>
      <c r="B88" s="6">
        <v>6.9</v>
      </c>
      <c r="C88" s="6">
        <v>6.9</v>
      </c>
      <c r="D88" s="6">
        <v>6.9</v>
      </c>
      <c r="E88" s="6">
        <v>7.2209000000000003</v>
      </c>
      <c r="F88" s="6">
        <v>7.2209000000000003</v>
      </c>
      <c r="G88" s="6">
        <v>7.2209000000000003</v>
      </c>
      <c r="H88" s="6">
        <v>7.42</v>
      </c>
      <c r="I88" s="6">
        <v>7.42</v>
      </c>
      <c r="J88" s="6">
        <v>7.42</v>
      </c>
      <c r="K88" s="6">
        <v>8.9838400000000007</v>
      </c>
      <c r="L88" s="6">
        <v>8.9838400000000007</v>
      </c>
      <c r="M88" s="6">
        <v>8.9838400000000007</v>
      </c>
      <c r="N88" s="6">
        <v>8.3722499999999993</v>
      </c>
      <c r="O88" s="6">
        <v>8.3722499999999993</v>
      </c>
      <c r="P88" s="6">
        <v>8.3722499999999993</v>
      </c>
      <c r="Q88" s="6">
        <v>8.3722499999999993</v>
      </c>
      <c r="R88" s="6">
        <v>9.0941600000000005</v>
      </c>
      <c r="S88" s="6">
        <v>9.0941600000000005</v>
      </c>
      <c r="T88" s="6">
        <v>8.7662152649463998</v>
      </c>
      <c r="U88" s="6">
        <v>8.7662152649463998</v>
      </c>
      <c r="V88" s="6">
        <v>8.7662152649463998</v>
      </c>
      <c r="W88" s="6">
        <v>8.7662152649463998</v>
      </c>
      <c r="X88" s="6">
        <v>8.7662152649463998</v>
      </c>
    </row>
    <row r="89" spans="1:24" x14ac:dyDescent="0.35">
      <c r="A89" s="4">
        <v>81</v>
      </c>
      <c r="B89" s="6">
        <v>6.57</v>
      </c>
      <c r="C89" s="6">
        <v>6.57</v>
      </c>
      <c r="D89" s="6">
        <v>6.57</v>
      </c>
      <c r="E89" s="6">
        <v>6.8537999999999997</v>
      </c>
      <c r="F89" s="6">
        <v>6.8537999999999997</v>
      </c>
      <c r="G89" s="6">
        <v>6.8537999999999997</v>
      </c>
      <c r="H89" s="6">
        <v>7.03</v>
      </c>
      <c r="I89" s="6">
        <v>7.03</v>
      </c>
      <c r="J89" s="6">
        <v>7.03</v>
      </c>
      <c r="K89" s="6">
        <v>8.4897399999999994</v>
      </c>
      <c r="L89" s="6">
        <v>8.4897399999999994</v>
      </c>
      <c r="M89" s="6">
        <v>8.4897399999999994</v>
      </c>
      <c r="N89" s="6">
        <v>7.9205699999999997</v>
      </c>
      <c r="O89" s="6">
        <v>7.9205699999999997</v>
      </c>
      <c r="P89" s="6">
        <v>7.9205699999999997</v>
      </c>
      <c r="Q89" s="6">
        <v>7.9205699999999997</v>
      </c>
      <c r="R89" s="6">
        <v>7.9205699999999997</v>
      </c>
      <c r="S89" s="6">
        <v>8.6031099999999991</v>
      </c>
      <c r="T89" s="6">
        <v>8.2703418342589003</v>
      </c>
      <c r="U89" s="6">
        <v>8.2703418342589003</v>
      </c>
      <c r="V89" s="6">
        <v>8.2703418342589003</v>
      </c>
      <c r="W89" s="6">
        <v>8.2703418342589003</v>
      </c>
      <c r="X89" s="6">
        <v>8.2703418342589003</v>
      </c>
    </row>
    <row r="90" spans="1:24" x14ac:dyDescent="0.35">
      <c r="A90" s="4">
        <v>82</v>
      </c>
      <c r="B90" s="6">
        <v>6.25</v>
      </c>
      <c r="C90" s="6">
        <v>6.25</v>
      </c>
      <c r="D90" s="6">
        <v>6.25</v>
      </c>
      <c r="E90" s="6">
        <v>6.4931999999999999</v>
      </c>
      <c r="F90" s="6">
        <v>6.4931999999999999</v>
      </c>
      <c r="G90" s="6">
        <v>6.4931999999999999</v>
      </c>
      <c r="H90" s="6">
        <v>6.65</v>
      </c>
      <c r="I90" s="6">
        <v>6.65</v>
      </c>
      <c r="J90" s="6">
        <v>6.65</v>
      </c>
      <c r="K90" s="6">
        <v>8.01112</v>
      </c>
      <c r="L90" s="6">
        <v>8.01112</v>
      </c>
      <c r="M90" s="6">
        <v>8.01112</v>
      </c>
      <c r="N90" s="6">
        <v>7.4652200000000004</v>
      </c>
      <c r="O90" s="6">
        <v>7.4652200000000004</v>
      </c>
      <c r="P90" s="6">
        <v>7.4652200000000004</v>
      </c>
      <c r="Q90" s="6">
        <v>7.4652200000000004</v>
      </c>
      <c r="R90" s="6">
        <v>7.4652200000000004</v>
      </c>
      <c r="S90" s="6">
        <v>7.4652200000000004</v>
      </c>
      <c r="T90" s="6">
        <v>7.7824330728096003</v>
      </c>
      <c r="U90" s="6">
        <v>7.7824330728096003</v>
      </c>
      <c r="V90" s="6">
        <v>7.7824330728096003</v>
      </c>
      <c r="W90" s="6">
        <v>7.7824330728096003</v>
      </c>
      <c r="X90" s="6">
        <v>7.7824330728096003</v>
      </c>
    </row>
    <row r="91" spans="1:24" x14ac:dyDescent="0.35">
      <c r="A91" s="4">
        <v>83</v>
      </c>
      <c r="B91" s="6">
        <v>5.94</v>
      </c>
      <c r="C91" s="6">
        <v>5.94</v>
      </c>
      <c r="D91" s="6">
        <v>5.94</v>
      </c>
      <c r="E91" s="6">
        <v>6.14</v>
      </c>
      <c r="F91" s="6">
        <v>6.14</v>
      </c>
      <c r="G91" s="6">
        <v>6.14</v>
      </c>
      <c r="H91" s="6">
        <v>6.28</v>
      </c>
      <c r="I91" s="6">
        <v>6.28</v>
      </c>
      <c r="J91" s="6">
        <v>6.28</v>
      </c>
      <c r="K91" s="6">
        <v>7.5314699999999997</v>
      </c>
      <c r="L91" s="6">
        <v>7.5314699999999997</v>
      </c>
      <c r="M91" s="6">
        <v>7.5314699999999997</v>
      </c>
      <c r="N91" s="6">
        <v>7.0085800000000003</v>
      </c>
      <c r="O91" s="6">
        <v>7.0085800000000003</v>
      </c>
      <c r="P91" s="6">
        <v>7.0085800000000003</v>
      </c>
      <c r="Q91" s="6">
        <v>7.0085800000000003</v>
      </c>
      <c r="R91" s="6">
        <v>7.0085800000000003</v>
      </c>
      <c r="S91" s="6">
        <v>7.0085800000000003</v>
      </c>
      <c r="T91" s="6">
        <v>6.8177616468500997</v>
      </c>
      <c r="U91" s="6">
        <v>7.3041087498005002</v>
      </c>
      <c r="V91" s="6">
        <v>7.3041087498005002</v>
      </c>
      <c r="W91" s="6">
        <v>7.3041087498005002</v>
      </c>
      <c r="X91" s="6">
        <v>7.3041087498005002</v>
      </c>
    </row>
    <row r="92" spans="1:24" x14ac:dyDescent="0.35">
      <c r="A92" s="4">
        <v>84</v>
      </c>
      <c r="B92" s="6">
        <v>5.63</v>
      </c>
      <c r="C92" s="6">
        <v>5.63</v>
      </c>
      <c r="D92" s="6">
        <v>5.63</v>
      </c>
      <c r="E92" s="6">
        <v>5.7949999999999999</v>
      </c>
      <c r="F92" s="6">
        <v>5.7949999999999999</v>
      </c>
      <c r="G92" s="6">
        <v>5.7949999999999999</v>
      </c>
      <c r="H92" s="6">
        <v>5.92</v>
      </c>
      <c r="I92" s="6">
        <v>5.92</v>
      </c>
      <c r="J92" s="6">
        <v>5.92</v>
      </c>
      <c r="K92" s="6">
        <v>7.0618299999999996</v>
      </c>
      <c r="L92" s="6">
        <v>7.0618299999999996</v>
      </c>
      <c r="M92" s="6">
        <v>7.0618299999999996</v>
      </c>
      <c r="N92" s="6">
        <v>6.5695600000000001</v>
      </c>
      <c r="O92" s="6">
        <v>6.5695600000000001</v>
      </c>
      <c r="P92" s="6">
        <v>6.5695600000000001</v>
      </c>
      <c r="Q92" s="6">
        <v>6.5695600000000001</v>
      </c>
      <c r="R92" s="6">
        <v>6.5695600000000001</v>
      </c>
      <c r="S92" s="6">
        <v>6.5695600000000001</v>
      </c>
      <c r="T92" s="6">
        <v>6.3871085468536997</v>
      </c>
      <c r="U92" s="6">
        <v>6.3871085468536997</v>
      </c>
      <c r="V92" s="6">
        <v>6.8369900860296999</v>
      </c>
      <c r="W92" s="6">
        <v>6.8369900860296999</v>
      </c>
      <c r="X92" s="6">
        <v>6.8369900860296999</v>
      </c>
    </row>
    <row r="93" spans="1:24" x14ac:dyDescent="0.35">
      <c r="A93" s="4">
        <v>85</v>
      </c>
      <c r="B93" s="6">
        <v>5.33</v>
      </c>
      <c r="C93" s="6">
        <v>5.33</v>
      </c>
      <c r="D93" s="6">
        <v>5.33</v>
      </c>
      <c r="E93" s="6">
        <v>5.4587000000000003</v>
      </c>
      <c r="F93" s="6">
        <v>5.4587000000000003</v>
      </c>
      <c r="G93" s="6">
        <v>5.4587000000000003</v>
      </c>
      <c r="H93" s="6">
        <v>5.57</v>
      </c>
      <c r="I93" s="6">
        <v>5.57</v>
      </c>
      <c r="J93" s="6">
        <v>5.57</v>
      </c>
      <c r="K93" s="6">
        <v>6.6152100000000003</v>
      </c>
      <c r="L93" s="6">
        <v>6.6152100000000003</v>
      </c>
      <c r="M93" s="6">
        <v>6.6152100000000003</v>
      </c>
      <c r="N93" s="6">
        <v>6.1473100000000001</v>
      </c>
      <c r="O93" s="6">
        <v>6.1473100000000001</v>
      </c>
      <c r="P93" s="6">
        <v>6.1473100000000001</v>
      </c>
      <c r="Q93" s="6">
        <v>6.1473100000000001</v>
      </c>
      <c r="R93" s="6">
        <v>6.1473100000000001</v>
      </c>
      <c r="S93" s="6">
        <v>6.1473100000000001</v>
      </c>
      <c r="T93" s="6">
        <v>5.9701070628907003</v>
      </c>
      <c r="U93" s="6">
        <v>5.9701070628907003</v>
      </c>
      <c r="V93" s="6">
        <v>5.9701070628907003</v>
      </c>
      <c r="W93" s="6">
        <v>6.3821824081595997</v>
      </c>
      <c r="X93" s="6">
        <v>6.3821824081595997</v>
      </c>
    </row>
    <row r="94" spans="1:24" x14ac:dyDescent="0.35">
      <c r="A94" s="4">
        <v>86</v>
      </c>
      <c r="B94" s="6">
        <v>5.03</v>
      </c>
      <c r="C94" s="6">
        <v>5.03</v>
      </c>
      <c r="D94" s="6">
        <v>5.03</v>
      </c>
      <c r="E94" s="6">
        <v>5.1318999999999999</v>
      </c>
      <c r="F94" s="6">
        <v>5.1318999999999999</v>
      </c>
      <c r="G94" s="6">
        <v>5.1318999999999999</v>
      </c>
      <c r="H94" s="6">
        <v>5.23</v>
      </c>
      <c r="I94" s="6">
        <v>5.23</v>
      </c>
      <c r="J94" s="6">
        <v>5.23</v>
      </c>
      <c r="K94" s="6">
        <v>6.18154</v>
      </c>
      <c r="L94" s="6">
        <v>6.18154</v>
      </c>
      <c r="M94" s="6">
        <v>6.18154</v>
      </c>
      <c r="N94" s="6">
        <v>5.7373200000000004</v>
      </c>
      <c r="O94" s="6">
        <v>5.7373200000000004</v>
      </c>
      <c r="P94" s="6">
        <v>5.7373200000000004</v>
      </c>
      <c r="Q94" s="6">
        <v>5.7373200000000004</v>
      </c>
      <c r="R94" s="6">
        <v>5.7373200000000004</v>
      </c>
      <c r="S94" s="6">
        <v>5.7373200000000004</v>
      </c>
      <c r="T94" s="6">
        <v>5.5667393881715999</v>
      </c>
      <c r="U94" s="6">
        <v>5.5667393881715999</v>
      </c>
      <c r="V94" s="6">
        <v>5.5667393881715999</v>
      </c>
      <c r="W94" s="6">
        <v>5.5667393881715999</v>
      </c>
      <c r="X94" s="6">
        <v>5.9406963746843999</v>
      </c>
    </row>
    <row r="95" spans="1:24" x14ac:dyDescent="0.35">
      <c r="A95" s="4">
        <v>87</v>
      </c>
      <c r="B95" s="6">
        <v>4.75</v>
      </c>
      <c r="C95" s="6">
        <v>4.75</v>
      </c>
      <c r="D95" s="6">
        <v>4.75</v>
      </c>
      <c r="E95" s="6">
        <v>4.8151999999999999</v>
      </c>
      <c r="F95" s="6">
        <v>4.8151999999999999</v>
      </c>
      <c r="G95" s="6">
        <v>4.8151999999999999</v>
      </c>
      <c r="H95" s="6">
        <v>4.91</v>
      </c>
      <c r="I95" s="6">
        <v>4.91</v>
      </c>
      <c r="J95" s="6">
        <v>4.91</v>
      </c>
      <c r="K95" s="6">
        <v>5.7524199999999999</v>
      </c>
      <c r="L95" s="6">
        <v>5.7524199999999999</v>
      </c>
      <c r="M95" s="6">
        <v>5.7524199999999999</v>
      </c>
      <c r="N95" s="6">
        <v>5.3469800000000003</v>
      </c>
      <c r="O95" s="6">
        <v>5.3469800000000003</v>
      </c>
      <c r="P95" s="6">
        <v>5.3469800000000003</v>
      </c>
      <c r="Q95" s="6">
        <v>5.3469800000000003</v>
      </c>
      <c r="R95" s="6">
        <v>5.3469800000000003</v>
      </c>
      <c r="S95" s="6">
        <v>5.3469800000000003</v>
      </c>
      <c r="T95" s="6">
        <v>5.1772832017989998</v>
      </c>
      <c r="U95" s="6">
        <v>5.1772832017989998</v>
      </c>
      <c r="V95" s="6">
        <v>5.1772832017989998</v>
      </c>
      <c r="W95" s="6">
        <v>5.1772832017989998</v>
      </c>
      <c r="X95" s="6">
        <v>5.1772832017989998</v>
      </c>
    </row>
    <row r="96" spans="1:24" x14ac:dyDescent="0.35">
      <c r="A96" s="4">
        <v>88</v>
      </c>
      <c r="B96" s="6">
        <v>4.47</v>
      </c>
      <c r="C96" s="6">
        <v>4.47</v>
      </c>
      <c r="D96" s="6">
        <v>4.47</v>
      </c>
      <c r="E96" s="6">
        <v>4.5090000000000003</v>
      </c>
      <c r="F96" s="6">
        <v>4.5090000000000003</v>
      </c>
      <c r="G96" s="6">
        <v>4.5090000000000003</v>
      </c>
      <c r="H96" s="6">
        <v>4.59</v>
      </c>
      <c r="I96" s="6">
        <v>4.59</v>
      </c>
      <c r="J96" s="6">
        <v>4.59</v>
      </c>
      <c r="K96" s="6">
        <v>5.3509200000000003</v>
      </c>
      <c r="L96" s="6">
        <v>5.3509200000000003</v>
      </c>
      <c r="M96" s="6">
        <v>5.3509200000000003</v>
      </c>
      <c r="N96" s="6">
        <v>4.9785500000000003</v>
      </c>
      <c r="O96" s="6">
        <v>4.9785500000000003</v>
      </c>
      <c r="P96" s="6">
        <v>4.9785500000000003</v>
      </c>
      <c r="Q96" s="6">
        <v>4.9785500000000003</v>
      </c>
      <c r="R96" s="6">
        <v>4.9785500000000003</v>
      </c>
      <c r="S96" s="6">
        <v>4.9785500000000003</v>
      </c>
      <c r="T96" s="6">
        <v>4.8022068616534002</v>
      </c>
      <c r="U96" s="6">
        <v>4.8022068616534002</v>
      </c>
      <c r="V96" s="6">
        <v>4.8022068616534002</v>
      </c>
      <c r="W96" s="6">
        <v>4.8022068616534002</v>
      </c>
      <c r="X96" s="6">
        <v>4.8022068616534002</v>
      </c>
    </row>
    <row r="97" spans="1:24" x14ac:dyDescent="0.35">
      <c r="A97" s="4">
        <v>89</v>
      </c>
      <c r="B97" s="6">
        <v>4.2</v>
      </c>
      <c r="C97" s="6">
        <v>4.2</v>
      </c>
      <c r="D97" s="6">
        <v>4.2</v>
      </c>
      <c r="E97" s="6">
        <v>4.2138</v>
      </c>
      <c r="F97" s="6">
        <v>4.2138</v>
      </c>
      <c r="G97" s="6">
        <v>4.2138</v>
      </c>
      <c r="H97" s="6">
        <v>4.29</v>
      </c>
      <c r="I97" s="6">
        <v>4.29</v>
      </c>
      <c r="J97" s="6">
        <v>4.29</v>
      </c>
      <c r="K97" s="6">
        <v>4.9588700000000001</v>
      </c>
      <c r="L97" s="6">
        <v>4.9588700000000001</v>
      </c>
      <c r="M97" s="6">
        <v>4.9588700000000001</v>
      </c>
      <c r="N97" s="6">
        <v>4.6305300000000003</v>
      </c>
      <c r="O97" s="6">
        <v>4.6305300000000003</v>
      </c>
      <c r="P97" s="6">
        <v>4.6305300000000003</v>
      </c>
      <c r="Q97" s="6">
        <v>4.6305300000000003</v>
      </c>
      <c r="R97" s="6">
        <v>4.6305300000000003</v>
      </c>
      <c r="S97" s="6">
        <v>4.6305300000000003</v>
      </c>
      <c r="T97" s="6">
        <v>4.4418345871579001</v>
      </c>
      <c r="U97" s="6">
        <v>4.4418345871579001</v>
      </c>
      <c r="V97" s="6">
        <v>4.4418345871579001</v>
      </c>
      <c r="W97" s="6">
        <v>4.4418345871579001</v>
      </c>
      <c r="X97" s="6">
        <v>4.4418345871579001</v>
      </c>
    </row>
    <row r="98" spans="1:24" x14ac:dyDescent="0.35">
      <c r="A98" s="4">
        <v>90</v>
      </c>
      <c r="B98" s="6">
        <v>3.94</v>
      </c>
      <c r="C98" s="6">
        <v>3.94</v>
      </c>
      <c r="D98" s="6">
        <v>3.94</v>
      </c>
      <c r="E98" s="6">
        <v>3.93</v>
      </c>
      <c r="F98" s="6">
        <v>3.93</v>
      </c>
      <c r="G98" s="6">
        <v>3.93</v>
      </c>
      <c r="H98" s="6">
        <v>3.99</v>
      </c>
      <c r="I98" s="6">
        <v>3.99</v>
      </c>
      <c r="J98" s="6">
        <v>3.99</v>
      </c>
      <c r="K98" s="6">
        <v>4.5620099999999999</v>
      </c>
      <c r="L98" s="6">
        <v>4.5620099999999999</v>
      </c>
      <c r="M98" s="6">
        <v>4.5620099999999999</v>
      </c>
      <c r="N98" s="6">
        <v>4.3000600000000002</v>
      </c>
      <c r="O98" s="6">
        <v>4.3000600000000002</v>
      </c>
      <c r="P98" s="6">
        <v>4.3000600000000002</v>
      </c>
      <c r="Q98" s="6">
        <v>4.3000600000000002</v>
      </c>
      <c r="R98" s="6">
        <v>4.3000600000000002</v>
      </c>
      <c r="S98" s="6">
        <v>4.3000600000000002</v>
      </c>
      <c r="T98" s="6">
        <v>4.0970075507399004</v>
      </c>
      <c r="U98" s="6">
        <v>4.0970075507399004</v>
      </c>
      <c r="V98" s="6">
        <v>4.0970075507399004</v>
      </c>
      <c r="W98" s="6">
        <v>4.0970075507399004</v>
      </c>
      <c r="X98" s="6">
        <v>4.0970075507399004</v>
      </c>
    </row>
    <row r="99" spans="1:24" x14ac:dyDescent="0.35">
      <c r="A99" s="4">
        <v>91</v>
      </c>
      <c r="B99" s="6">
        <v>3.69</v>
      </c>
      <c r="C99" s="6">
        <v>3.69</v>
      </c>
      <c r="D99" s="6">
        <v>3.69</v>
      </c>
      <c r="E99" s="6">
        <v>3.6579999999999999</v>
      </c>
      <c r="F99" s="6">
        <v>3.6579999999999999</v>
      </c>
      <c r="G99" s="6">
        <v>3.6579999999999999</v>
      </c>
      <c r="H99" s="6">
        <v>3.71</v>
      </c>
      <c r="I99" s="6">
        <v>3.71</v>
      </c>
      <c r="J99" s="6">
        <v>3.71</v>
      </c>
      <c r="K99" s="6">
        <v>4.1841900000000001</v>
      </c>
      <c r="L99" s="6">
        <v>4.1841900000000001</v>
      </c>
      <c r="M99" s="6">
        <v>4.1841900000000001</v>
      </c>
      <c r="N99" s="6">
        <v>3.9824600000000001</v>
      </c>
      <c r="O99" s="6">
        <v>3.9824600000000001</v>
      </c>
      <c r="P99" s="6">
        <v>3.9824600000000001</v>
      </c>
      <c r="Q99" s="6">
        <v>3.9824600000000001</v>
      </c>
      <c r="R99" s="6">
        <v>3.9824600000000001</v>
      </c>
      <c r="S99" s="6">
        <v>3.9824600000000001</v>
      </c>
      <c r="T99" s="6">
        <v>3.7690371334187001</v>
      </c>
      <c r="U99" s="6">
        <v>3.7690371334187001</v>
      </c>
      <c r="V99" s="6">
        <v>3.7690371334187001</v>
      </c>
      <c r="W99" s="6">
        <v>3.7690371334187001</v>
      </c>
      <c r="X99" s="6">
        <v>3.7690371334187001</v>
      </c>
    </row>
    <row r="100" spans="1:24" x14ac:dyDescent="0.35">
      <c r="A100" s="4">
        <v>92</v>
      </c>
      <c r="B100" s="6">
        <v>3.45</v>
      </c>
      <c r="C100" s="6">
        <v>3.45</v>
      </c>
      <c r="D100" s="6">
        <v>3.45</v>
      </c>
      <c r="E100" s="6">
        <v>3.3978000000000002</v>
      </c>
      <c r="F100" s="6">
        <v>3.3978000000000002</v>
      </c>
      <c r="G100" s="6">
        <v>3.3978000000000002</v>
      </c>
      <c r="H100" s="6">
        <v>3.45</v>
      </c>
      <c r="I100" s="6">
        <v>3.45</v>
      </c>
      <c r="J100" s="6">
        <v>3.45</v>
      </c>
      <c r="K100" s="6">
        <v>3.81168</v>
      </c>
      <c r="L100" s="6">
        <v>3.81168</v>
      </c>
      <c r="M100" s="6">
        <v>3.81168</v>
      </c>
      <c r="N100" s="6">
        <v>3.6807300000000001</v>
      </c>
      <c r="O100" s="6">
        <v>3.6807300000000001</v>
      </c>
      <c r="P100" s="6">
        <v>3.6807300000000001</v>
      </c>
      <c r="Q100" s="6">
        <v>3.6807300000000001</v>
      </c>
      <c r="R100" s="6">
        <v>3.6807300000000001</v>
      </c>
      <c r="S100" s="6">
        <v>3.6807300000000001</v>
      </c>
      <c r="T100" s="6">
        <v>3.4589724551458998</v>
      </c>
      <c r="U100" s="6">
        <v>3.4589724551458998</v>
      </c>
      <c r="V100" s="6">
        <v>3.4589724551458998</v>
      </c>
      <c r="W100" s="6">
        <v>3.4589724551458998</v>
      </c>
      <c r="X100" s="6">
        <v>3.4589724551458998</v>
      </c>
    </row>
    <row r="101" spans="1:24" x14ac:dyDescent="0.35">
      <c r="A101" s="4">
        <v>93</v>
      </c>
      <c r="B101" s="6">
        <v>3.22</v>
      </c>
      <c r="C101" s="6">
        <v>3.22</v>
      </c>
      <c r="D101" s="6">
        <v>3.22</v>
      </c>
      <c r="E101" s="6">
        <v>3.1497000000000002</v>
      </c>
      <c r="F101" s="6">
        <v>3.1497000000000002</v>
      </c>
      <c r="G101" s="6">
        <v>3.1497000000000002</v>
      </c>
      <c r="H101" s="6">
        <v>3.19</v>
      </c>
      <c r="I101" s="6">
        <v>3.19</v>
      </c>
      <c r="J101" s="6">
        <v>3.19</v>
      </c>
      <c r="K101" s="6">
        <v>3.4605800000000002</v>
      </c>
      <c r="L101" s="6">
        <v>3.4605800000000002</v>
      </c>
      <c r="M101" s="6">
        <v>3.4605800000000002</v>
      </c>
      <c r="N101" s="6">
        <v>3.4056000000000002</v>
      </c>
      <c r="O101" s="6">
        <v>3.4056000000000002</v>
      </c>
      <c r="P101" s="6">
        <v>3.4056000000000002</v>
      </c>
      <c r="Q101" s="6">
        <v>3.4056000000000002</v>
      </c>
      <c r="R101" s="6">
        <v>3.4056000000000002</v>
      </c>
      <c r="S101" s="6">
        <v>3.4056000000000002</v>
      </c>
      <c r="T101" s="6">
        <v>3.1652550518777001</v>
      </c>
      <c r="U101" s="6">
        <v>3.1652550518777001</v>
      </c>
      <c r="V101" s="6">
        <v>3.1652550518777001</v>
      </c>
      <c r="W101" s="6">
        <v>3.1652550518777001</v>
      </c>
      <c r="X101" s="6">
        <v>3.1652550518777001</v>
      </c>
    </row>
    <row r="102" spans="1:24" x14ac:dyDescent="0.35">
      <c r="A102" s="4">
        <v>94</v>
      </c>
      <c r="B102" s="6">
        <v>3</v>
      </c>
      <c r="C102" s="6">
        <v>3</v>
      </c>
      <c r="D102" s="6">
        <v>3</v>
      </c>
      <c r="E102" s="6">
        <v>2.9136000000000002</v>
      </c>
      <c r="F102" s="6">
        <v>2.9136000000000002</v>
      </c>
      <c r="G102" s="6">
        <v>2.9136000000000002</v>
      </c>
      <c r="H102" s="6">
        <v>2.95</v>
      </c>
      <c r="I102" s="6">
        <v>2.95</v>
      </c>
      <c r="J102" s="6">
        <v>2.95</v>
      </c>
      <c r="K102" s="6">
        <v>3.1285599999999998</v>
      </c>
      <c r="L102" s="6">
        <v>3.1285599999999998</v>
      </c>
      <c r="M102" s="6">
        <v>3.1285599999999998</v>
      </c>
      <c r="N102" s="6">
        <v>3.1576599999999999</v>
      </c>
      <c r="O102" s="6">
        <v>3.1576599999999999</v>
      </c>
      <c r="P102" s="6">
        <v>3.1576599999999999</v>
      </c>
      <c r="Q102" s="6">
        <v>3.1576599999999999</v>
      </c>
      <c r="R102" s="6">
        <v>3.1576599999999999</v>
      </c>
      <c r="S102" s="6">
        <v>3.1576599999999999</v>
      </c>
      <c r="T102" s="6">
        <v>2.8826467267674998</v>
      </c>
      <c r="U102" s="6">
        <v>2.8826467267674998</v>
      </c>
      <c r="V102" s="6">
        <v>2.8826467267674998</v>
      </c>
      <c r="W102" s="6">
        <v>2.8826467267674998</v>
      </c>
      <c r="X102" s="6">
        <v>2.8826467267674998</v>
      </c>
    </row>
    <row r="103" spans="1:24" x14ac:dyDescent="0.35">
      <c r="A103" s="4">
        <v>95</v>
      </c>
      <c r="B103" s="6">
        <v>2.78</v>
      </c>
      <c r="C103" s="6">
        <v>2.78</v>
      </c>
      <c r="D103" s="6">
        <v>2.78</v>
      </c>
      <c r="E103" s="6">
        <v>2.6894999999999998</v>
      </c>
      <c r="F103" s="6">
        <v>2.6894999999999998</v>
      </c>
      <c r="G103" s="6">
        <v>2.6894999999999998</v>
      </c>
      <c r="H103" s="6">
        <v>2.73</v>
      </c>
      <c r="I103" s="6">
        <v>2.73</v>
      </c>
      <c r="J103" s="6">
        <v>2.73</v>
      </c>
      <c r="K103" s="6">
        <v>2.8092899999999998</v>
      </c>
      <c r="L103" s="6">
        <v>2.8092899999999998</v>
      </c>
      <c r="M103" s="6">
        <v>2.8092899999999998</v>
      </c>
      <c r="N103" s="6">
        <v>2.9008400000000001</v>
      </c>
      <c r="O103" s="6">
        <v>2.9008400000000001</v>
      </c>
      <c r="P103" s="6">
        <v>2.9008400000000001</v>
      </c>
      <c r="Q103" s="6">
        <v>2.9008400000000001</v>
      </c>
      <c r="R103" s="6">
        <v>2.9008400000000001</v>
      </c>
      <c r="S103" s="6">
        <v>2.9008400000000001</v>
      </c>
      <c r="T103" s="6">
        <v>2.6053289616125999</v>
      </c>
      <c r="U103" s="6">
        <v>2.6053289616125999</v>
      </c>
      <c r="V103" s="6">
        <v>2.6053289616125999</v>
      </c>
      <c r="W103" s="6">
        <v>2.6053289616125999</v>
      </c>
      <c r="X103" s="6">
        <v>2.6053289616125999</v>
      </c>
    </row>
    <row r="104" spans="1:24" x14ac:dyDescent="0.35">
      <c r="A104" s="4">
        <v>96</v>
      </c>
      <c r="B104" s="6">
        <v>2.58</v>
      </c>
      <c r="C104" s="6">
        <v>2.58</v>
      </c>
      <c r="D104" s="6">
        <v>2.58</v>
      </c>
      <c r="E104" s="6">
        <v>2.4769999999999999</v>
      </c>
      <c r="F104" s="6">
        <v>2.4769999999999999</v>
      </c>
      <c r="G104" s="6">
        <v>2.4769999999999999</v>
      </c>
      <c r="H104" s="6">
        <v>2.5099999999999998</v>
      </c>
      <c r="I104" s="6">
        <v>2.5099999999999998</v>
      </c>
      <c r="J104" s="6">
        <v>2.5099999999999998</v>
      </c>
      <c r="K104" s="6">
        <v>2.5159199999999999</v>
      </c>
      <c r="L104" s="6">
        <v>2.5159199999999999</v>
      </c>
      <c r="M104" s="6">
        <v>2.5159199999999999</v>
      </c>
      <c r="N104" s="6">
        <v>2.6125699999999998</v>
      </c>
      <c r="O104" s="6">
        <v>2.6125699999999998</v>
      </c>
      <c r="P104" s="6">
        <v>2.6125699999999998</v>
      </c>
      <c r="Q104" s="6">
        <v>2.6125699999999998</v>
      </c>
      <c r="R104" s="6">
        <v>2.6125699999999998</v>
      </c>
      <c r="S104" s="6">
        <v>2.6125699999999998</v>
      </c>
      <c r="T104" s="6">
        <v>2.3382658775043001</v>
      </c>
      <c r="U104" s="6">
        <v>2.3382658775043001</v>
      </c>
      <c r="V104" s="6">
        <v>2.3382658775043001</v>
      </c>
      <c r="W104" s="6">
        <v>2.3382658775043001</v>
      </c>
      <c r="X104" s="6">
        <v>2.3382658775043001</v>
      </c>
    </row>
    <row r="105" spans="1:24" x14ac:dyDescent="0.35">
      <c r="A105" s="4">
        <v>97</v>
      </c>
      <c r="B105" s="6">
        <v>2.38</v>
      </c>
      <c r="C105" s="6">
        <v>2.38</v>
      </c>
      <c r="D105" s="6">
        <v>2.38</v>
      </c>
      <c r="E105" s="6">
        <v>2.2757999999999998</v>
      </c>
      <c r="F105" s="6">
        <v>2.2757999999999998</v>
      </c>
      <c r="G105" s="6">
        <v>2.2757999999999998</v>
      </c>
      <c r="H105" s="6">
        <v>2.31</v>
      </c>
      <c r="I105" s="6">
        <v>2.31</v>
      </c>
      <c r="J105" s="6">
        <v>2.31</v>
      </c>
      <c r="K105" s="6">
        <v>2.24349</v>
      </c>
      <c r="L105" s="6">
        <v>2.24349</v>
      </c>
      <c r="M105" s="6">
        <v>2.24349</v>
      </c>
      <c r="N105" s="6">
        <v>2.3450500000000001</v>
      </c>
      <c r="O105" s="6">
        <v>2.3450500000000001</v>
      </c>
      <c r="P105" s="6">
        <v>2.3450500000000001</v>
      </c>
      <c r="Q105" s="6">
        <v>2.3450500000000001</v>
      </c>
      <c r="R105" s="6">
        <v>2.3450500000000001</v>
      </c>
      <c r="S105" s="6">
        <v>2.3450500000000001</v>
      </c>
      <c r="T105" s="6">
        <v>2.0913173374117999</v>
      </c>
      <c r="U105" s="6">
        <v>2.0913173374117999</v>
      </c>
      <c r="V105" s="6">
        <v>2.0913173374117999</v>
      </c>
      <c r="W105" s="6">
        <v>2.0913173374117999</v>
      </c>
      <c r="X105" s="6">
        <v>2.0913173374117999</v>
      </c>
    </row>
    <row r="106" spans="1:24" x14ac:dyDescent="0.35">
      <c r="A106" s="4">
        <v>98</v>
      </c>
      <c r="B106" s="6">
        <v>2.19</v>
      </c>
      <c r="C106" s="6">
        <v>2.19</v>
      </c>
      <c r="D106" s="6">
        <v>2.19</v>
      </c>
      <c r="E106" s="6">
        <v>2.0849000000000002</v>
      </c>
      <c r="F106" s="6">
        <v>2.0849000000000002</v>
      </c>
      <c r="G106" s="6">
        <v>2.0849000000000002</v>
      </c>
      <c r="H106" s="6">
        <v>2.12</v>
      </c>
      <c r="I106" s="6">
        <v>2.12</v>
      </c>
      <c r="J106" s="6">
        <v>2.12</v>
      </c>
      <c r="K106" s="6">
        <v>1.99133</v>
      </c>
      <c r="L106" s="6">
        <v>1.99133</v>
      </c>
      <c r="M106" s="6">
        <v>1.99133</v>
      </c>
      <c r="N106" s="6">
        <v>2.0976300000000001</v>
      </c>
      <c r="O106" s="6">
        <v>2.0976300000000001</v>
      </c>
      <c r="P106" s="6">
        <v>2.0976300000000001</v>
      </c>
      <c r="Q106" s="6">
        <v>2.0976300000000001</v>
      </c>
      <c r="R106" s="6">
        <v>2.0976300000000001</v>
      </c>
      <c r="S106" s="6">
        <v>2.0976300000000001</v>
      </c>
      <c r="T106" s="6">
        <v>1.8636368592440999</v>
      </c>
      <c r="U106" s="6">
        <v>1.8636368592440999</v>
      </c>
      <c r="V106" s="6">
        <v>1.8636368592440999</v>
      </c>
      <c r="W106" s="6">
        <v>1.8636368592440999</v>
      </c>
      <c r="X106" s="6">
        <v>1.8636368592440999</v>
      </c>
    </row>
    <row r="107" spans="1:24" x14ac:dyDescent="0.35">
      <c r="A107" s="4">
        <v>99</v>
      </c>
      <c r="B107" s="6">
        <v>1.99</v>
      </c>
      <c r="C107" s="6">
        <v>1.99</v>
      </c>
      <c r="D107" s="6">
        <v>1.99</v>
      </c>
      <c r="E107" s="6">
        <v>1.9029</v>
      </c>
      <c r="F107" s="6">
        <v>1.9029</v>
      </c>
      <c r="G107" s="6">
        <v>1.9029</v>
      </c>
      <c r="H107" s="6">
        <v>1.94</v>
      </c>
      <c r="I107" s="6">
        <v>1.94</v>
      </c>
      <c r="J107" s="6">
        <v>1.94</v>
      </c>
      <c r="K107" s="6">
        <v>1.75847</v>
      </c>
      <c r="L107" s="6">
        <v>1.75847</v>
      </c>
      <c r="M107" s="6">
        <v>1.75847</v>
      </c>
      <c r="N107" s="6">
        <v>1.8694599999999999</v>
      </c>
      <c r="O107" s="6">
        <v>1.8694599999999999</v>
      </c>
      <c r="P107" s="6">
        <v>1.8694599999999999</v>
      </c>
      <c r="Q107" s="6">
        <v>1.8694599999999999</v>
      </c>
      <c r="R107" s="6">
        <v>1.8694599999999999</v>
      </c>
      <c r="S107" s="6">
        <v>1.8694599999999999</v>
      </c>
      <c r="T107" s="6">
        <v>1.6542350619920001</v>
      </c>
      <c r="U107" s="6">
        <v>1.6542350619920001</v>
      </c>
      <c r="V107" s="6">
        <v>1.6542350619920001</v>
      </c>
      <c r="W107" s="6">
        <v>1.6542350619920001</v>
      </c>
      <c r="X107" s="6">
        <v>1.6542350619920001</v>
      </c>
    </row>
    <row r="108" spans="1:24" x14ac:dyDescent="0.35">
      <c r="A108" s="4">
        <v>100</v>
      </c>
      <c r="B108" s="6">
        <v>1.79</v>
      </c>
      <c r="C108" s="6">
        <v>1.79</v>
      </c>
      <c r="D108" s="6">
        <v>1.79</v>
      </c>
      <c r="E108" s="6">
        <v>1.7274</v>
      </c>
      <c r="F108" s="6">
        <v>1.7274</v>
      </c>
      <c r="G108" s="6">
        <v>1.7274</v>
      </c>
      <c r="H108" s="6">
        <v>1.77</v>
      </c>
      <c r="I108" s="6">
        <v>1.77</v>
      </c>
      <c r="J108" s="6">
        <v>1.77</v>
      </c>
      <c r="K108" s="6">
        <v>1.5435399999999999</v>
      </c>
      <c r="L108" s="6">
        <v>1.5435399999999999</v>
      </c>
      <c r="M108" s="6">
        <v>1.5435399999999999</v>
      </c>
      <c r="N108" s="6">
        <v>1.65957</v>
      </c>
      <c r="O108" s="6">
        <v>1.65957</v>
      </c>
      <c r="P108" s="6">
        <v>1.65957</v>
      </c>
      <c r="Q108" s="6">
        <v>1.65957</v>
      </c>
      <c r="R108" s="6">
        <v>1.65957</v>
      </c>
      <c r="S108" s="6">
        <v>1.65957</v>
      </c>
      <c r="T108" s="6">
        <v>1.4619975385005</v>
      </c>
      <c r="U108" s="6">
        <v>1.4619975385005</v>
      </c>
      <c r="V108" s="6">
        <v>1.4619975385005</v>
      </c>
      <c r="W108" s="6">
        <v>1.4619975385005</v>
      </c>
      <c r="X108" s="6">
        <v>1.4619975385005</v>
      </c>
    </row>
    <row r="109" spans="1:24" x14ac:dyDescent="0.35">
      <c r="A109" s="4">
        <v>101</v>
      </c>
      <c r="B109" s="6"/>
      <c r="C109" s="6"/>
      <c r="D109" s="6"/>
      <c r="E109" s="6"/>
      <c r="F109" s="6"/>
      <c r="G109" s="6"/>
      <c r="H109" s="6"/>
      <c r="I109" s="6"/>
      <c r="J109" s="6"/>
      <c r="K109" s="6"/>
      <c r="L109" s="6"/>
      <c r="M109" s="6"/>
      <c r="N109" s="6"/>
      <c r="O109" s="6"/>
      <c r="P109" s="6"/>
      <c r="Q109" s="6">
        <v>1.4668600000000001</v>
      </c>
      <c r="R109" s="6">
        <v>1.4668600000000001</v>
      </c>
      <c r="S109" s="6">
        <v>1.4668600000000001</v>
      </c>
      <c r="T109" s="6">
        <v>1.2857034013954001</v>
      </c>
      <c r="U109" s="6">
        <v>1.2857034013954001</v>
      </c>
      <c r="V109" s="6">
        <v>1.2857034013954001</v>
      </c>
      <c r="W109" s="6">
        <v>1.2857034013954001</v>
      </c>
      <c r="X109" s="6">
        <v>1.2857034013954001</v>
      </c>
    </row>
    <row r="110" spans="1:24" x14ac:dyDescent="0.35">
      <c r="A110" s="4">
        <v>102</v>
      </c>
      <c r="B110" s="6"/>
      <c r="C110" s="6"/>
      <c r="D110" s="6"/>
      <c r="E110" s="6"/>
      <c r="F110" s="6"/>
      <c r="G110" s="6"/>
      <c r="H110" s="6"/>
      <c r="I110" s="6"/>
      <c r="J110" s="6"/>
      <c r="K110" s="6"/>
      <c r="L110" s="6"/>
      <c r="M110" s="6"/>
      <c r="N110" s="6"/>
      <c r="O110" s="6"/>
      <c r="P110" s="6"/>
      <c r="Q110" s="6">
        <v>1.2901199999999999</v>
      </c>
      <c r="R110" s="6">
        <v>1.2901199999999999</v>
      </c>
      <c r="S110" s="6">
        <v>1.2901199999999999</v>
      </c>
      <c r="T110" s="6">
        <v>1.124043562617</v>
      </c>
      <c r="U110" s="6">
        <v>1.124043562617</v>
      </c>
      <c r="V110" s="6">
        <v>1.124043562617</v>
      </c>
      <c r="W110" s="6">
        <v>1.124043562617</v>
      </c>
      <c r="X110" s="6">
        <v>1.124043562617</v>
      </c>
    </row>
    <row r="111" spans="1:24" x14ac:dyDescent="0.35">
      <c r="A111" s="4">
        <v>103</v>
      </c>
      <c r="B111" s="6"/>
      <c r="C111" s="6"/>
      <c r="D111" s="6"/>
      <c r="E111" s="6"/>
      <c r="F111" s="6"/>
      <c r="G111" s="6"/>
      <c r="H111" s="6"/>
      <c r="I111" s="6"/>
      <c r="J111" s="6"/>
      <c r="K111" s="6"/>
      <c r="L111" s="6"/>
      <c r="M111" s="6"/>
      <c r="N111" s="6"/>
      <c r="O111" s="6"/>
      <c r="P111" s="6"/>
      <c r="Q111" s="6">
        <v>1.1280300000000001</v>
      </c>
      <c r="R111" s="6">
        <v>1.1280300000000001</v>
      </c>
      <c r="S111" s="6">
        <v>1.1280300000000001</v>
      </c>
      <c r="T111" s="6">
        <v>0.97563786171050004</v>
      </c>
      <c r="U111" s="6">
        <v>0.97563786171050004</v>
      </c>
      <c r="V111" s="6">
        <v>0.97563786171050004</v>
      </c>
      <c r="W111" s="6">
        <v>0.97563786171050004</v>
      </c>
      <c r="X111" s="6">
        <v>0.97563786171050004</v>
      </c>
    </row>
    <row r="112" spans="1:24" x14ac:dyDescent="0.35">
      <c r="A112" s="4">
        <v>104</v>
      </c>
      <c r="B112" s="6"/>
      <c r="C112" s="6"/>
      <c r="D112" s="6"/>
      <c r="E112" s="6"/>
      <c r="F112" s="6"/>
      <c r="G112" s="6"/>
      <c r="H112" s="6"/>
      <c r="I112" s="6"/>
      <c r="J112" s="6"/>
      <c r="K112" s="6"/>
      <c r="L112" s="6"/>
      <c r="M112" s="6"/>
      <c r="N112" s="6"/>
      <c r="O112" s="6"/>
      <c r="P112" s="6"/>
      <c r="Q112" s="6">
        <v>0.97923000000000004</v>
      </c>
      <c r="R112" s="6">
        <v>0.97923000000000004</v>
      </c>
      <c r="S112" s="6">
        <v>0.97923000000000004</v>
      </c>
      <c r="T112" s="6">
        <v>0.83905033763860004</v>
      </c>
      <c r="U112" s="6">
        <v>0.83905033763860004</v>
      </c>
      <c r="V112" s="6">
        <v>0.83905033763860004</v>
      </c>
      <c r="W112" s="6">
        <v>0.83905033763860004</v>
      </c>
      <c r="X112" s="6">
        <v>0.83905033763860004</v>
      </c>
    </row>
    <row r="113" spans="1:24" x14ac:dyDescent="0.35">
      <c r="A113" s="4">
        <v>105</v>
      </c>
      <c r="B113" s="6"/>
      <c r="C113" s="6"/>
      <c r="D113" s="6"/>
      <c r="E113" s="6"/>
      <c r="F113" s="6"/>
      <c r="G113" s="6"/>
      <c r="H113" s="6"/>
      <c r="I113" s="6"/>
      <c r="J113" s="6"/>
      <c r="K113" s="6"/>
      <c r="L113" s="6"/>
      <c r="M113" s="6"/>
      <c r="N113" s="6"/>
      <c r="O113" s="6"/>
      <c r="P113" s="6"/>
      <c r="Q113" s="6">
        <v>0.84228999999999998</v>
      </c>
      <c r="R113" s="6">
        <v>0.84228999999999998</v>
      </c>
      <c r="S113" s="6">
        <v>0.84228999999999998</v>
      </c>
      <c r="T113" s="6">
        <v>0.71280257912239997</v>
      </c>
      <c r="U113" s="6">
        <v>0.71280257912239997</v>
      </c>
      <c r="V113" s="6">
        <v>0.71280257912239997</v>
      </c>
      <c r="W113" s="6">
        <v>0.71280257912239997</v>
      </c>
      <c r="X113" s="6">
        <v>0.71280257912239997</v>
      </c>
    </row>
    <row r="114" spans="1:24" x14ac:dyDescent="0.35">
      <c r="A114" s="4">
        <v>106</v>
      </c>
      <c r="B114" s="6"/>
      <c r="C114" s="6"/>
      <c r="D114" s="6"/>
      <c r="E114" s="6"/>
      <c r="F114" s="6"/>
      <c r="G114" s="6"/>
      <c r="H114" s="6"/>
      <c r="I114" s="6"/>
      <c r="J114" s="6"/>
      <c r="K114" s="6"/>
      <c r="L114" s="6"/>
      <c r="M114" s="6"/>
      <c r="N114" s="6"/>
      <c r="O114" s="6"/>
      <c r="P114" s="6"/>
      <c r="Q114" s="6">
        <v>0.71572000000000002</v>
      </c>
      <c r="R114" s="6">
        <v>0.71572000000000002</v>
      </c>
      <c r="S114" s="6">
        <v>0.71572000000000002</v>
      </c>
      <c r="T114" s="6">
        <v>0.59538859849409997</v>
      </c>
      <c r="U114" s="6">
        <v>0.59538859849409997</v>
      </c>
      <c r="V114" s="6">
        <v>0.59538859849409997</v>
      </c>
      <c r="W114" s="6">
        <v>0.59538859849409997</v>
      </c>
      <c r="X114" s="6">
        <v>0.59538859849409997</v>
      </c>
    </row>
    <row r="115" spans="1:24" x14ac:dyDescent="0.35">
      <c r="A115" s="4">
        <v>107</v>
      </c>
      <c r="B115" s="6"/>
      <c r="C115" s="6"/>
      <c r="D115" s="6"/>
      <c r="E115" s="6"/>
      <c r="F115" s="6"/>
      <c r="G115" s="6"/>
      <c r="H115" s="6"/>
      <c r="I115" s="6"/>
      <c r="J115" s="6"/>
      <c r="K115" s="6"/>
      <c r="L115" s="6"/>
      <c r="M115" s="6"/>
      <c r="N115" s="6"/>
      <c r="O115" s="6"/>
      <c r="P115" s="6"/>
      <c r="Q115" s="6">
        <v>0.59802</v>
      </c>
      <c r="R115" s="6">
        <v>0.59802</v>
      </c>
      <c r="S115" s="6">
        <v>0.59802</v>
      </c>
      <c r="T115" s="6">
        <v>0.4853234045332</v>
      </c>
      <c r="U115" s="6">
        <v>0.4853234045332</v>
      </c>
      <c r="V115" s="6">
        <v>0.4853234045332</v>
      </c>
      <c r="W115" s="6">
        <v>0.4853234045332</v>
      </c>
      <c r="X115" s="6">
        <v>0.4853234045332</v>
      </c>
    </row>
    <row r="116" spans="1:24" x14ac:dyDescent="0.35">
      <c r="A116" s="4">
        <v>108</v>
      </c>
      <c r="B116" s="6"/>
      <c r="C116" s="6"/>
      <c r="D116" s="6"/>
      <c r="E116" s="6"/>
      <c r="F116" s="6"/>
      <c r="G116" s="6"/>
      <c r="H116" s="6"/>
      <c r="I116" s="6"/>
      <c r="J116" s="6"/>
      <c r="K116" s="6"/>
      <c r="L116" s="6"/>
      <c r="M116" s="6"/>
      <c r="N116" s="6"/>
      <c r="O116" s="6"/>
      <c r="P116" s="6"/>
      <c r="Q116" s="6">
        <v>0.48770000000000002</v>
      </c>
      <c r="R116" s="6">
        <v>0.48770000000000002</v>
      </c>
      <c r="S116" s="6">
        <v>0.48770000000000002</v>
      </c>
      <c r="T116" s="6">
        <v>0.38162142119659997</v>
      </c>
      <c r="U116" s="6">
        <v>0.38162142119659997</v>
      </c>
      <c r="V116" s="6">
        <v>0.38162142119659997</v>
      </c>
      <c r="W116" s="6">
        <v>0.38162142119659997</v>
      </c>
      <c r="X116" s="6">
        <v>0.38162142119659997</v>
      </c>
    </row>
    <row r="117" spans="1:24" x14ac:dyDescent="0.35">
      <c r="A117" s="4">
        <v>109</v>
      </c>
      <c r="B117" s="6"/>
      <c r="C117" s="6"/>
      <c r="D117" s="6"/>
      <c r="E117" s="6"/>
      <c r="F117" s="6"/>
      <c r="G117" s="6"/>
      <c r="H117" s="6"/>
      <c r="I117" s="6"/>
      <c r="J117" s="6"/>
      <c r="K117" s="6"/>
      <c r="L117" s="6"/>
      <c r="M117" s="6"/>
      <c r="N117" s="6"/>
      <c r="O117" s="6"/>
      <c r="P117" s="6"/>
      <c r="Q117" s="6">
        <v>0.38366</v>
      </c>
      <c r="R117" s="6">
        <v>0.38366</v>
      </c>
      <c r="S117" s="6">
        <v>0.38366</v>
      </c>
      <c r="T117" s="6">
        <v>0.29086645873349998</v>
      </c>
      <c r="U117" s="6">
        <v>0.29086645873349998</v>
      </c>
      <c r="V117" s="6">
        <v>0.29086645873349998</v>
      </c>
      <c r="W117" s="6">
        <v>0.29086645873349998</v>
      </c>
      <c r="X117" s="6">
        <v>0.29086645873349998</v>
      </c>
    </row>
    <row r="118" spans="1:24" x14ac:dyDescent="0.35">
      <c r="A118" s="4">
        <v>110</v>
      </c>
      <c r="B118" s="6"/>
      <c r="C118" s="6"/>
      <c r="D118" s="6"/>
      <c r="E118" s="6"/>
      <c r="F118" s="6"/>
      <c r="G118" s="6"/>
      <c r="H118" s="6"/>
      <c r="I118" s="6"/>
      <c r="J118" s="6"/>
      <c r="K118" s="6"/>
      <c r="L118" s="6"/>
      <c r="M118" s="6"/>
      <c r="N118" s="6"/>
      <c r="O118" s="6"/>
      <c r="P118" s="6"/>
      <c r="Q118" s="6">
        <v>0.29087000000000002</v>
      </c>
      <c r="R118" s="6">
        <v>0.29087000000000002</v>
      </c>
      <c r="S118" s="6">
        <v>0.29087000000000002</v>
      </c>
      <c r="T118" s="6">
        <v>0.29086645873349998</v>
      </c>
      <c r="U118" s="6">
        <v>0.29086645873349998</v>
      </c>
      <c r="V118" s="6">
        <v>0.29086645873349998</v>
      </c>
      <c r="W118" s="6">
        <v>0.29086645873349998</v>
      </c>
      <c r="X118" s="6">
        <v>0.29086645873349998</v>
      </c>
    </row>
    <row r="119" spans="1:24" x14ac:dyDescent="0.35">
      <c r="A119" s="4">
        <v>111</v>
      </c>
      <c r="B119" s="6"/>
      <c r="C119" s="6"/>
      <c r="D119" s="6"/>
      <c r="E119" s="6"/>
      <c r="F119" s="6"/>
      <c r="G119" s="6"/>
      <c r="H119" s="6"/>
      <c r="I119" s="6"/>
      <c r="J119" s="6"/>
      <c r="K119" s="6"/>
      <c r="L119" s="6"/>
      <c r="M119" s="6"/>
      <c r="N119" s="6"/>
      <c r="O119" s="6"/>
      <c r="P119" s="6"/>
      <c r="Q119" s="6">
        <v>0.29087000000000002</v>
      </c>
      <c r="R119" s="6">
        <v>0.29087000000000002</v>
      </c>
      <c r="S119" s="6">
        <v>0.29087000000000002</v>
      </c>
      <c r="T119" s="6">
        <v>0.29086645873349998</v>
      </c>
      <c r="U119" s="6">
        <v>0.29086645873349998</v>
      </c>
      <c r="V119" s="6">
        <v>0.29086645873349998</v>
      </c>
      <c r="W119" s="6">
        <v>0.29086645873349998</v>
      </c>
      <c r="X119" s="6">
        <v>0.29086645873349998</v>
      </c>
    </row>
    <row r="120" spans="1:24" x14ac:dyDescent="0.35">
      <c r="A120" s="4">
        <v>112</v>
      </c>
      <c r="B120" s="6"/>
      <c r="C120" s="6"/>
      <c r="D120" s="6"/>
      <c r="E120" s="6"/>
      <c r="F120" s="6"/>
      <c r="G120" s="6"/>
      <c r="H120" s="6"/>
      <c r="I120" s="6"/>
      <c r="J120" s="6"/>
      <c r="K120" s="6"/>
      <c r="L120" s="6"/>
      <c r="M120" s="6"/>
      <c r="N120" s="6"/>
      <c r="O120" s="6"/>
      <c r="P120" s="6"/>
      <c r="Q120" s="6">
        <v>0.29087000000000002</v>
      </c>
      <c r="R120" s="6">
        <v>0.29087000000000002</v>
      </c>
      <c r="S120" s="6">
        <v>0.29087000000000002</v>
      </c>
      <c r="T120" s="6">
        <v>0.29086645873349998</v>
      </c>
      <c r="U120" s="6">
        <v>0.29086645873349998</v>
      </c>
      <c r="V120" s="6">
        <v>0.29086645873349998</v>
      </c>
      <c r="W120" s="6">
        <v>0.29086645873349998</v>
      </c>
      <c r="X120" s="6">
        <v>0.29086645873349998</v>
      </c>
    </row>
    <row r="121" spans="1:24" x14ac:dyDescent="0.35">
      <c r="A121" s="4">
        <v>113</v>
      </c>
      <c r="B121" s="6"/>
      <c r="C121" s="6"/>
      <c r="D121" s="6"/>
      <c r="E121" s="6"/>
      <c r="F121" s="6"/>
      <c r="G121" s="6"/>
      <c r="H121" s="6"/>
      <c r="I121" s="6"/>
      <c r="J121" s="6"/>
      <c r="K121" s="6"/>
      <c r="L121" s="6"/>
      <c r="M121" s="6"/>
      <c r="N121" s="6"/>
      <c r="O121" s="6"/>
      <c r="P121" s="6"/>
      <c r="Q121" s="6">
        <v>0.29087000000000002</v>
      </c>
      <c r="R121" s="6">
        <v>0.29087000000000002</v>
      </c>
      <c r="S121" s="6">
        <v>0.29087000000000002</v>
      </c>
      <c r="T121" s="6">
        <v>0.29086645873349998</v>
      </c>
      <c r="U121" s="6">
        <v>0.29086645873349998</v>
      </c>
      <c r="V121" s="6">
        <v>0.29086645873349998</v>
      </c>
      <c r="W121" s="6">
        <v>0.29086645873349998</v>
      </c>
      <c r="X121" s="6">
        <v>0.29086645873349998</v>
      </c>
    </row>
    <row r="122" spans="1:24" x14ac:dyDescent="0.35">
      <c r="A122" s="4">
        <v>114</v>
      </c>
      <c r="B122" s="6"/>
      <c r="C122" s="6"/>
      <c r="D122" s="6"/>
      <c r="E122" s="6"/>
      <c r="F122" s="6"/>
      <c r="G122" s="6"/>
      <c r="H122" s="6"/>
      <c r="I122" s="6"/>
      <c r="J122" s="6"/>
      <c r="K122" s="6"/>
      <c r="L122" s="6"/>
      <c r="M122" s="6"/>
      <c r="N122" s="6"/>
      <c r="O122" s="6"/>
      <c r="P122" s="6"/>
      <c r="Q122" s="6">
        <v>0.29087000000000002</v>
      </c>
      <c r="R122" s="6">
        <v>0.29087000000000002</v>
      </c>
      <c r="S122" s="6">
        <v>0.29087000000000002</v>
      </c>
      <c r="T122" s="6">
        <v>0.29086645873349998</v>
      </c>
      <c r="U122" s="6">
        <v>0.29086645873349998</v>
      </c>
      <c r="V122" s="6">
        <v>0.29086645873349998</v>
      </c>
      <c r="W122" s="6">
        <v>0.29086645873349998</v>
      </c>
      <c r="X122" s="6">
        <v>0.29086645873349998</v>
      </c>
    </row>
    <row r="123" spans="1:24" x14ac:dyDescent="0.35">
      <c r="A123" s="4">
        <v>115</v>
      </c>
      <c r="B123" s="6"/>
      <c r="C123" s="6"/>
      <c r="D123" s="6"/>
      <c r="E123" s="6"/>
      <c r="F123" s="6"/>
      <c r="G123" s="6"/>
      <c r="H123" s="6"/>
      <c r="I123" s="6"/>
      <c r="J123" s="6"/>
      <c r="K123" s="6"/>
      <c r="L123" s="6"/>
      <c r="M123" s="6"/>
      <c r="N123" s="6"/>
      <c r="O123" s="6"/>
      <c r="P123" s="6"/>
      <c r="Q123" s="6">
        <v>0.29087000000000002</v>
      </c>
      <c r="R123" s="6">
        <v>0.29087000000000002</v>
      </c>
      <c r="S123" s="6">
        <v>0.29087000000000002</v>
      </c>
      <c r="T123" s="6">
        <v>0.29086645873349998</v>
      </c>
      <c r="U123" s="6">
        <v>0.29086645873349998</v>
      </c>
      <c r="V123" s="6">
        <v>0.29086645873349998</v>
      </c>
      <c r="W123" s="6">
        <v>0.29086645873349998</v>
      </c>
      <c r="X123" s="6">
        <v>0.29086645873349998</v>
      </c>
    </row>
    <row r="124" spans="1:24" x14ac:dyDescent="0.35">
      <c r="A124" s="4">
        <v>116</v>
      </c>
      <c r="B124" s="6"/>
      <c r="C124" s="6"/>
      <c r="D124" s="6"/>
      <c r="E124" s="6"/>
      <c r="F124" s="6"/>
      <c r="G124" s="6"/>
      <c r="H124" s="6"/>
      <c r="I124" s="6"/>
      <c r="J124" s="6"/>
      <c r="K124" s="6"/>
      <c r="L124" s="6"/>
      <c r="M124" s="6"/>
      <c r="N124" s="6"/>
      <c r="O124" s="6"/>
      <c r="P124" s="6"/>
      <c r="Q124" s="6">
        <v>0.29087000000000002</v>
      </c>
      <c r="R124" s="6">
        <v>0.29087000000000002</v>
      </c>
      <c r="S124" s="6">
        <v>0.29087000000000002</v>
      </c>
      <c r="T124" s="6">
        <v>0.29086645873349998</v>
      </c>
      <c r="U124" s="6">
        <v>0.29086645873349998</v>
      </c>
      <c r="V124" s="6">
        <v>0.29086645873349998</v>
      </c>
      <c r="W124" s="6">
        <v>0.29086645873349998</v>
      </c>
      <c r="X124" s="6">
        <v>0.29086645873349998</v>
      </c>
    </row>
    <row r="125" spans="1:24" x14ac:dyDescent="0.35">
      <c r="A125" s="5">
        <v>117</v>
      </c>
      <c r="B125" s="6"/>
      <c r="C125" s="6"/>
      <c r="D125" s="6"/>
      <c r="E125" s="6"/>
      <c r="F125" s="6"/>
      <c r="G125" s="6"/>
      <c r="H125" s="6"/>
      <c r="I125" s="6"/>
      <c r="J125" s="6"/>
      <c r="K125" s="6"/>
      <c r="L125" s="6"/>
      <c r="M125" s="6"/>
      <c r="N125" s="6"/>
      <c r="O125" s="6"/>
      <c r="P125" s="6"/>
      <c r="Q125" s="6">
        <v>0.29087000000000002</v>
      </c>
      <c r="R125" s="6">
        <v>0.29087000000000002</v>
      </c>
      <c r="S125" s="6">
        <v>0.29087000000000002</v>
      </c>
      <c r="T125" s="6">
        <v>0.29086645873349998</v>
      </c>
      <c r="U125" s="6">
        <v>0.29086645873349998</v>
      </c>
      <c r="V125" s="6">
        <v>0.29086645873349998</v>
      </c>
      <c r="W125" s="6">
        <v>0.29086645873349998</v>
      </c>
      <c r="X125" s="6">
        <v>0.29086645873349998</v>
      </c>
    </row>
    <row r="126" spans="1:24" x14ac:dyDescent="0.35">
      <c r="A126" s="5">
        <v>118</v>
      </c>
      <c r="B126" s="6"/>
      <c r="C126" s="6"/>
      <c r="D126" s="6"/>
      <c r="E126" s="6"/>
      <c r="F126" s="6"/>
      <c r="G126" s="6"/>
      <c r="H126" s="6"/>
      <c r="I126" s="6"/>
      <c r="J126" s="6"/>
      <c r="K126" s="6"/>
      <c r="L126" s="6"/>
      <c r="M126" s="6"/>
      <c r="N126" s="6"/>
      <c r="O126" s="6"/>
      <c r="P126" s="6"/>
      <c r="Q126" s="6">
        <v>0.29087000000000002</v>
      </c>
      <c r="R126" s="6">
        <v>0.29087000000000002</v>
      </c>
      <c r="S126" s="6">
        <v>0.29087000000000002</v>
      </c>
      <c r="T126" s="6">
        <v>0.29086645873349998</v>
      </c>
      <c r="U126" s="6">
        <v>0.29086645873349998</v>
      </c>
      <c r="V126" s="6">
        <v>0.29086645873349998</v>
      </c>
      <c r="W126" s="6">
        <v>0.29086645873349998</v>
      </c>
      <c r="X126" s="6">
        <v>0.29086645873349998</v>
      </c>
    </row>
    <row r="127" spans="1:24" x14ac:dyDescent="0.35">
      <c r="A127" s="5">
        <v>119</v>
      </c>
      <c r="B127" s="6"/>
      <c r="C127" s="6"/>
      <c r="D127" s="6"/>
      <c r="E127" s="6"/>
      <c r="F127" s="6"/>
      <c r="G127" s="6"/>
      <c r="H127" s="6"/>
      <c r="I127" s="6"/>
      <c r="J127" s="6"/>
      <c r="K127" s="6"/>
      <c r="L127" s="6"/>
      <c r="M127" s="6"/>
      <c r="N127" s="6"/>
      <c r="O127" s="6"/>
      <c r="P127" s="6"/>
      <c r="Q127" s="6">
        <v>0.29087000000000002</v>
      </c>
      <c r="R127" s="6">
        <v>0.29087000000000002</v>
      </c>
      <c r="S127" s="6">
        <v>0.29087000000000002</v>
      </c>
      <c r="T127" s="6">
        <v>0.29086645873349998</v>
      </c>
      <c r="U127" s="6">
        <v>0.29086645873349998</v>
      </c>
      <c r="V127" s="6">
        <v>0.29086645873349998</v>
      </c>
      <c r="W127" s="6">
        <v>0.29086645873349998</v>
      </c>
      <c r="X127" s="6">
        <v>0.29086645873349998</v>
      </c>
    </row>
    <row r="128" spans="1:24" x14ac:dyDescent="0.35">
      <c r="A128" s="5">
        <v>120</v>
      </c>
      <c r="B128" s="6"/>
      <c r="C128" s="6"/>
      <c r="D128" s="6"/>
      <c r="E128" s="6"/>
      <c r="F128" s="6"/>
      <c r="G128" s="6"/>
      <c r="H128" s="6"/>
      <c r="I128" s="6"/>
      <c r="J128" s="6"/>
      <c r="K128" s="6"/>
      <c r="L128" s="6"/>
      <c r="M128" s="6"/>
      <c r="N128" s="6"/>
      <c r="O128" s="6"/>
      <c r="P128" s="6"/>
      <c r="Q128" s="6">
        <v>0.29087000000000002</v>
      </c>
      <c r="R128" s="6">
        <v>0.29087000000000002</v>
      </c>
      <c r="S128" s="6">
        <v>0.29087000000000002</v>
      </c>
      <c r="T128" s="6">
        <v>0.29086645873349998</v>
      </c>
      <c r="U128" s="6">
        <v>0.29086645873349998</v>
      </c>
      <c r="V128" s="6">
        <v>0.29086645873349998</v>
      </c>
      <c r="W128" s="6">
        <v>0.29086645873349998</v>
      </c>
      <c r="X128" s="6">
        <v>0.29086645873349998</v>
      </c>
    </row>
    <row r="130" spans="1:19" x14ac:dyDescent="0.35">
      <c r="A130" t="s">
        <v>9</v>
      </c>
      <c r="B130" s="5">
        <v>2004</v>
      </c>
      <c r="C130" s="5">
        <v>2005</v>
      </c>
      <c r="D130" s="5">
        <v>2006</v>
      </c>
      <c r="E130" s="5">
        <v>2007</v>
      </c>
      <c r="F130" s="5">
        <v>2008</v>
      </c>
      <c r="G130" s="5">
        <v>2009</v>
      </c>
      <c r="H130" s="5">
        <v>2010</v>
      </c>
      <c r="I130" s="5">
        <v>2011</v>
      </c>
      <c r="J130" s="5">
        <v>2012</v>
      </c>
      <c r="K130" s="5">
        <v>2013</v>
      </c>
      <c r="L130" s="5">
        <v>2014</v>
      </c>
      <c r="M130" s="5">
        <v>2015</v>
      </c>
      <c r="N130" s="5"/>
      <c r="O130" s="5"/>
      <c r="P130" s="5"/>
      <c r="Q130" s="5"/>
      <c r="R130" s="5"/>
      <c r="S130" s="5"/>
    </row>
    <row r="131" spans="1:19" x14ac:dyDescent="0.35">
      <c r="A131" t="s">
        <v>11</v>
      </c>
      <c r="B131" s="2"/>
      <c r="C131" s="2"/>
      <c r="D131" s="2"/>
      <c r="E131" s="2"/>
      <c r="F131" s="2"/>
      <c r="G131" s="2"/>
      <c r="H131" s="2"/>
      <c r="I131" s="2"/>
      <c r="J131" s="2"/>
      <c r="K131" s="2"/>
      <c r="L131" s="2"/>
      <c r="M131" s="2"/>
      <c r="N131" s="2"/>
      <c r="O131" s="2"/>
      <c r="P131" s="2"/>
      <c r="Q131" s="2"/>
      <c r="R131" s="2"/>
      <c r="S131" s="2"/>
    </row>
    <row r="132" spans="1:19" x14ac:dyDescent="0.35">
      <c r="A132" s="4">
        <v>0</v>
      </c>
      <c r="B132" s="6">
        <v>21.55</v>
      </c>
      <c r="C132" s="6">
        <v>21.55</v>
      </c>
      <c r="D132" s="6">
        <v>21.55</v>
      </c>
      <c r="E132" s="6">
        <v>24.315899999999999</v>
      </c>
      <c r="F132" s="6">
        <v>24.315899999999999</v>
      </c>
      <c r="G132" s="6">
        <v>24.315899999999999</v>
      </c>
      <c r="H132" s="6">
        <v>27.19</v>
      </c>
      <c r="I132" s="6">
        <v>27.19</v>
      </c>
      <c r="J132" s="6">
        <v>27.19</v>
      </c>
      <c r="K132" s="6">
        <v>35.196429999999999</v>
      </c>
      <c r="L132" s="6">
        <v>35.196429999999999</v>
      </c>
      <c r="M132" s="6">
        <v>35.196429999999999</v>
      </c>
      <c r="N132" s="7"/>
      <c r="O132" s="7"/>
      <c r="P132" s="7"/>
      <c r="Q132" s="7"/>
      <c r="R132" s="7"/>
      <c r="S132" s="7"/>
    </row>
    <row r="133" spans="1:19" x14ac:dyDescent="0.35">
      <c r="A133" s="4">
        <v>1</v>
      </c>
      <c r="B133" s="6">
        <v>21.5</v>
      </c>
      <c r="C133" s="6">
        <v>21.5</v>
      </c>
      <c r="D133" s="6">
        <v>21.5</v>
      </c>
      <c r="E133" s="6">
        <v>24.270299999999999</v>
      </c>
      <c r="F133" s="6">
        <v>24.270299999999999</v>
      </c>
      <c r="G133" s="6">
        <v>24.270299999999999</v>
      </c>
      <c r="H133" s="6">
        <v>27.12</v>
      </c>
      <c r="I133" s="6">
        <v>27.12</v>
      </c>
      <c r="J133" s="6">
        <v>27.12</v>
      </c>
      <c r="K133" s="6">
        <v>35.144469999999998</v>
      </c>
      <c r="L133" s="6">
        <v>35.144469999999998</v>
      </c>
      <c r="M133" s="6">
        <v>35.144469999999998</v>
      </c>
      <c r="N133" s="7"/>
      <c r="O133" s="7"/>
      <c r="P133" s="7"/>
      <c r="Q133" s="7"/>
      <c r="R133" s="7"/>
      <c r="S133" s="7"/>
    </row>
    <row r="134" spans="1:19" x14ac:dyDescent="0.35">
      <c r="A134" s="4">
        <v>2</v>
      </c>
      <c r="B134" s="6">
        <v>21.45</v>
      </c>
      <c r="C134" s="6">
        <v>21.45</v>
      </c>
      <c r="D134" s="6">
        <v>21.45</v>
      </c>
      <c r="E134" s="6">
        <v>24.222999999999999</v>
      </c>
      <c r="F134" s="6">
        <v>24.222999999999999</v>
      </c>
      <c r="G134" s="6">
        <v>24.222999999999999</v>
      </c>
      <c r="H134" s="6">
        <v>27.05</v>
      </c>
      <c r="I134" s="6">
        <v>27.05</v>
      </c>
      <c r="J134" s="6">
        <v>27.05</v>
      </c>
      <c r="K134" s="6">
        <v>35.022440000000003</v>
      </c>
      <c r="L134" s="6">
        <v>35.022440000000003</v>
      </c>
      <c r="M134" s="6">
        <v>35.022440000000003</v>
      </c>
      <c r="N134" s="7"/>
      <c r="O134" s="7"/>
      <c r="P134" s="7"/>
      <c r="Q134" s="7"/>
      <c r="R134" s="7"/>
      <c r="S134" s="7"/>
    </row>
    <row r="135" spans="1:19" x14ac:dyDescent="0.35">
      <c r="A135" s="4">
        <v>3</v>
      </c>
      <c r="B135" s="6">
        <v>21.39</v>
      </c>
      <c r="C135" s="6">
        <v>21.39</v>
      </c>
      <c r="D135" s="6">
        <v>21.39</v>
      </c>
      <c r="E135" s="6">
        <v>24.1737</v>
      </c>
      <c r="F135" s="6">
        <v>24.1737</v>
      </c>
      <c r="G135" s="6">
        <v>24.1737</v>
      </c>
      <c r="H135" s="6">
        <v>26.99</v>
      </c>
      <c r="I135" s="6">
        <v>26.99</v>
      </c>
      <c r="J135" s="6">
        <v>26.99</v>
      </c>
      <c r="K135" s="6">
        <v>34.892879999999998</v>
      </c>
      <c r="L135" s="6">
        <v>34.892879999999998</v>
      </c>
      <c r="M135" s="6">
        <v>34.892879999999998</v>
      </c>
      <c r="N135" s="7"/>
      <c r="O135" s="7"/>
      <c r="P135" s="7"/>
      <c r="Q135" s="7"/>
      <c r="R135" s="7"/>
      <c r="S135" s="7"/>
    </row>
    <row r="136" spans="1:19" x14ac:dyDescent="0.35">
      <c r="A136" s="4">
        <v>4</v>
      </c>
      <c r="B136" s="6">
        <v>21.33</v>
      </c>
      <c r="C136" s="6">
        <v>21.33</v>
      </c>
      <c r="D136" s="6">
        <v>21.33</v>
      </c>
      <c r="E136" s="6">
        <v>24.122399999999999</v>
      </c>
      <c r="F136" s="6">
        <v>24.122399999999999</v>
      </c>
      <c r="G136" s="6">
        <v>24.122399999999999</v>
      </c>
      <c r="H136" s="6">
        <v>26.91</v>
      </c>
      <c r="I136" s="6">
        <v>26.91</v>
      </c>
      <c r="J136" s="6">
        <v>26.91</v>
      </c>
      <c r="K136" s="6">
        <v>34.453069999999997</v>
      </c>
      <c r="L136" s="6">
        <v>34.453069999999997</v>
      </c>
      <c r="M136" s="6">
        <v>34.453069999999997</v>
      </c>
      <c r="N136" s="7"/>
      <c r="O136" s="7"/>
      <c r="P136" s="7"/>
      <c r="Q136" s="7"/>
      <c r="R136" s="7"/>
      <c r="S136" s="7"/>
    </row>
    <row r="137" spans="1:19" x14ac:dyDescent="0.35">
      <c r="A137" s="4">
        <v>5</v>
      </c>
      <c r="B137" s="6">
        <v>21.27</v>
      </c>
      <c r="C137" s="6">
        <v>21.27</v>
      </c>
      <c r="D137" s="6">
        <v>21.27</v>
      </c>
      <c r="E137" s="6">
        <v>24.069099999999999</v>
      </c>
      <c r="F137" s="6">
        <v>24.069099999999999</v>
      </c>
      <c r="G137" s="6">
        <v>24.069099999999999</v>
      </c>
      <c r="H137" s="6">
        <v>26.84</v>
      </c>
      <c r="I137" s="6">
        <v>26.84</v>
      </c>
      <c r="J137" s="6">
        <v>26.84</v>
      </c>
      <c r="K137" s="6">
        <v>34.315649999999998</v>
      </c>
      <c r="L137" s="6">
        <v>34.315649999999998</v>
      </c>
      <c r="M137" s="6">
        <v>34.315649999999998</v>
      </c>
      <c r="N137" s="7"/>
      <c r="O137" s="7"/>
      <c r="P137" s="7"/>
      <c r="Q137" s="7"/>
      <c r="R137" s="7"/>
      <c r="S137" s="7"/>
    </row>
    <row r="138" spans="1:19" x14ac:dyDescent="0.35">
      <c r="A138" s="4">
        <v>6</v>
      </c>
      <c r="B138" s="6">
        <v>21.21</v>
      </c>
      <c r="C138" s="6">
        <v>21.21</v>
      </c>
      <c r="D138" s="6">
        <v>21.21</v>
      </c>
      <c r="E138" s="6">
        <v>24.0137</v>
      </c>
      <c r="F138" s="6">
        <v>24.0137</v>
      </c>
      <c r="G138" s="6">
        <v>24.0137</v>
      </c>
      <c r="H138" s="6">
        <v>26.76</v>
      </c>
      <c r="I138" s="6">
        <v>26.76</v>
      </c>
      <c r="J138" s="6">
        <v>26.76</v>
      </c>
      <c r="K138" s="6">
        <v>34.169170000000001</v>
      </c>
      <c r="L138" s="6">
        <v>34.169170000000001</v>
      </c>
      <c r="M138" s="6">
        <v>34.169170000000001</v>
      </c>
      <c r="N138" s="7"/>
      <c r="O138" s="7"/>
      <c r="P138" s="7"/>
      <c r="Q138" s="7"/>
      <c r="R138" s="7"/>
      <c r="S138" s="7"/>
    </row>
    <row r="139" spans="1:19" x14ac:dyDescent="0.35">
      <c r="A139" s="4">
        <v>7</v>
      </c>
      <c r="B139" s="6">
        <v>21.14</v>
      </c>
      <c r="C139" s="6">
        <v>21.14</v>
      </c>
      <c r="D139" s="6">
        <v>21.14</v>
      </c>
      <c r="E139" s="6">
        <v>23.956</v>
      </c>
      <c r="F139" s="6">
        <v>23.956</v>
      </c>
      <c r="G139" s="6">
        <v>23.956</v>
      </c>
      <c r="H139" s="6">
        <v>26.68</v>
      </c>
      <c r="I139" s="6">
        <v>26.68</v>
      </c>
      <c r="J139" s="6">
        <v>26.68</v>
      </c>
      <c r="K139" s="6">
        <v>34.018459999999997</v>
      </c>
      <c r="L139" s="6">
        <v>34.018459999999997</v>
      </c>
      <c r="M139" s="6">
        <v>34.018459999999997</v>
      </c>
      <c r="N139" s="7"/>
      <c r="O139" s="7"/>
      <c r="P139" s="7"/>
      <c r="Q139" s="7"/>
      <c r="R139" s="7"/>
      <c r="S139" s="7"/>
    </row>
    <row r="140" spans="1:19" x14ac:dyDescent="0.35">
      <c r="A140" s="4">
        <v>8</v>
      </c>
      <c r="B140" s="6">
        <v>21.07</v>
      </c>
      <c r="C140" s="6">
        <v>21.07</v>
      </c>
      <c r="D140" s="6">
        <v>21.07</v>
      </c>
      <c r="E140" s="6">
        <v>23.779900000000001</v>
      </c>
      <c r="F140" s="6">
        <v>23.779900000000001</v>
      </c>
      <c r="G140" s="6">
        <v>23.779900000000001</v>
      </c>
      <c r="H140" s="6">
        <v>26.6</v>
      </c>
      <c r="I140" s="6">
        <v>26.6</v>
      </c>
      <c r="J140" s="6">
        <v>26.6</v>
      </c>
      <c r="K140" s="6">
        <v>33.863680000000002</v>
      </c>
      <c r="L140" s="6">
        <v>33.863680000000002</v>
      </c>
      <c r="M140" s="6">
        <v>33.863680000000002</v>
      </c>
      <c r="N140" s="7"/>
      <c r="O140" s="7"/>
      <c r="P140" s="7"/>
      <c r="Q140" s="7"/>
      <c r="R140" s="7"/>
      <c r="S140" s="7"/>
    </row>
    <row r="141" spans="1:19" x14ac:dyDescent="0.35">
      <c r="A141" s="4">
        <v>9</v>
      </c>
      <c r="B141" s="6">
        <v>21</v>
      </c>
      <c r="C141" s="6">
        <v>21</v>
      </c>
      <c r="D141" s="6">
        <v>21</v>
      </c>
      <c r="E141" s="6">
        <v>23.712900000000001</v>
      </c>
      <c r="F141" s="6">
        <v>23.712900000000001</v>
      </c>
      <c r="G141" s="6">
        <v>23.712900000000001</v>
      </c>
      <c r="H141" s="6">
        <v>26.52</v>
      </c>
      <c r="I141" s="6">
        <v>26.52</v>
      </c>
      <c r="J141" s="6">
        <v>26.52</v>
      </c>
      <c r="K141" s="6">
        <v>33.707250000000002</v>
      </c>
      <c r="L141" s="6">
        <v>33.707250000000002</v>
      </c>
      <c r="M141" s="6">
        <v>33.707250000000002</v>
      </c>
      <c r="N141" s="7"/>
      <c r="O141" s="7"/>
      <c r="P141" s="7"/>
      <c r="Q141" s="7"/>
      <c r="R141" s="7"/>
      <c r="S141" s="7"/>
    </row>
    <row r="142" spans="1:19" x14ac:dyDescent="0.35">
      <c r="A142" s="4">
        <v>10</v>
      </c>
      <c r="B142" s="6">
        <v>20.93</v>
      </c>
      <c r="C142" s="6">
        <v>20.93</v>
      </c>
      <c r="D142" s="6">
        <v>20.93</v>
      </c>
      <c r="E142" s="6">
        <v>23.6432</v>
      </c>
      <c r="F142" s="6">
        <v>23.6432</v>
      </c>
      <c r="G142" s="6">
        <v>23.6432</v>
      </c>
      <c r="H142" s="6">
        <v>26.43</v>
      </c>
      <c r="I142" s="6">
        <v>26.43</v>
      </c>
      <c r="J142" s="6">
        <v>26.43</v>
      </c>
      <c r="K142" s="6">
        <v>33.54766</v>
      </c>
      <c r="L142" s="6">
        <v>33.54766</v>
      </c>
      <c r="M142" s="6">
        <v>33.54766</v>
      </c>
      <c r="N142" s="7"/>
      <c r="O142" s="7"/>
      <c r="P142" s="7"/>
      <c r="Q142" s="7"/>
      <c r="R142" s="7"/>
      <c r="S142" s="7"/>
    </row>
    <row r="143" spans="1:19" x14ac:dyDescent="0.35">
      <c r="A143" s="4">
        <v>11</v>
      </c>
      <c r="B143" s="6">
        <v>20.85</v>
      </c>
      <c r="C143" s="6">
        <v>20.85</v>
      </c>
      <c r="D143" s="6">
        <v>20.85</v>
      </c>
      <c r="E143" s="6">
        <v>23.570699999999999</v>
      </c>
      <c r="F143" s="6">
        <v>23.570699999999999</v>
      </c>
      <c r="G143" s="6">
        <v>23.570699999999999</v>
      </c>
      <c r="H143" s="6">
        <v>26.17</v>
      </c>
      <c r="I143" s="6">
        <v>26.17</v>
      </c>
      <c r="J143" s="6">
        <v>26.17</v>
      </c>
      <c r="K143" s="6">
        <v>33.381929999999997</v>
      </c>
      <c r="L143" s="6">
        <v>33.381929999999997</v>
      </c>
      <c r="M143" s="6">
        <v>33.381929999999997</v>
      </c>
      <c r="N143" s="7"/>
      <c r="O143" s="7"/>
      <c r="P143" s="7"/>
      <c r="Q143" s="7"/>
      <c r="R143" s="7"/>
      <c r="S143" s="7"/>
    </row>
    <row r="144" spans="1:19" x14ac:dyDescent="0.35">
      <c r="A144" s="4">
        <v>12</v>
      </c>
      <c r="B144" s="6">
        <v>20.77</v>
      </c>
      <c r="C144" s="6">
        <v>20.77</v>
      </c>
      <c r="D144" s="6">
        <v>20.77</v>
      </c>
      <c r="E144" s="6">
        <v>23.4954</v>
      </c>
      <c r="F144" s="6">
        <v>23.4954</v>
      </c>
      <c r="G144" s="6">
        <v>23.4954</v>
      </c>
      <c r="H144" s="6">
        <v>26.07</v>
      </c>
      <c r="I144" s="6">
        <v>26.07</v>
      </c>
      <c r="J144" s="6">
        <v>26.07</v>
      </c>
      <c r="K144" s="6">
        <v>33.211489999999998</v>
      </c>
      <c r="L144" s="6">
        <v>33.211489999999998</v>
      </c>
      <c r="M144" s="6">
        <v>33.211489999999998</v>
      </c>
      <c r="N144" s="7"/>
      <c r="O144" s="7"/>
      <c r="P144" s="7"/>
      <c r="Q144" s="7"/>
      <c r="R144" s="7"/>
      <c r="S144" s="7"/>
    </row>
    <row r="145" spans="1:19" x14ac:dyDescent="0.35">
      <c r="A145" s="4">
        <v>13</v>
      </c>
      <c r="B145" s="6">
        <v>20.68</v>
      </c>
      <c r="C145" s="6">
        <v>20.68</v>
      </c>
      <c r="D145" s="6">
        <v>20.68</v>
      </c>
      <c r="E145" s="6">
        <v>23.417000000000002</v>
      </c>
      <c r="F145" s="6">
        <v>23.417000000000002</v>
      </c>
      <c r="G145" s="6">
        <v>23.417000000000002</v>
      </c>
      <c r="H145" s="6">
        <v>25.96</v>
      </c>
      <c r="I145" s="6">
        <v>25.96</v>
      </c>
      <c r="J145" s="6">
        <v>25.96</v>
      </c>
      <c r="K145" s="6">
        <v>33.03575</v>
      </c>
      <c r="L145" s="6">
        <v>33.03575</v>
      </c>
      <c r="M145" s="6">
        <v>33.03575</v>
      </c>
      <c r="N145" s="7"/>
      <c r="O145" s="7"/>
      <c r="P145" s="7"/>
      <c r="Q145" s="7"/>
      <c r="R145" s="7"/>
      <c r="S145" s="7"/>
    </row>
    <row r="146" spans="1:19" x14ac:dyDescent="0.35">
      <c r="A146" s="4">
        <v>14</v>
      </c>
      <c r="B146" s="6">
        <v>20.59</v>
      </c>
      <c r="C146" s="6">
        <v>20.59</v>
      </c>
      <c r="D146" s="6">
        <v>20.59</v>
      </c>
      <c r="E146" s="6">
        <v>23.3354</v>
      </c>
      <c r="F146" s="6">
        <v>23.3354</v>
      </c>
      <c r="G146" s="6">
        <v>23.3354</v>
      </c>
      <c r="H146" s="6">
        <v>25.85</v>
      </c>
      <c r="I146" s="6">
        <v>25.85</v>
      </c>
      <c r="J146" s="6">
        <v>25.85</v>
      </c>
      <c r="K146" s="6">
        <v>32.434420000000003</v>
      </c>
      <c r="L146" s="6">
        <v>32.434420000000003</v>
      </c>
      <c r="M146" s="6">
        <v>32.434420000000003</v>
      </c>
      <c r="N146" s="7"/>
      <c r="O146" s="7"/>
      <c r="P146" s="7"/>
      <c r="Q146" s="7"/>
      <c r="R146" s="7"/>
      <c r="S146" s="7"/>
    </row>
    <row r="147" spans="1:19" x14ac:dyDescent="0.35">
      <c r="A147" s="4">
        <v>15</v>
      </c>
      <c r="B147" s="6">
        <v>20.5</v>
      </c>
      <c r="C147" s="6">
        <v>20.5</v>
      </c>
      <c r="D147" s="6">
        <v>20.5</v>
      </c>
      <c r="E147" s="6">
        <v>23.2576</v>
      </c>
      <c r="F147" s="6">
        <v>23.2576</v>
      </c>
      <c r="G147" s="6">
        <v>23.2576</v>
      </c>
      <c r="H147" s="6">
        <v>25.75</v>
      </c>
      <c r="I147" s="6">
        <v>25.75</v>
      </c>
      <c r="J147" s="6">
        <v>25.75</v>
      </c>
      <c r="K147" s="6">
        <v>32.242489999999997</v>
      </c>
      <c r="L147" s="6">
        <v>32.242489999999997</v>
      </c>
      <c r="M147" s="6">
        <v>32.242489999999997</v>
      </c>
      <c r="N147" s="7"/>
      <c r="O147" s="7"/>
      <c r="P147" s="7"/>
      <c r="Q147" s="7"/>
      <c r="R147" s="7"/>
      <c r="S147" s="7"/>
    </row>
    <row r="148" spans="1:19" x14ac:dyDescent="0.35">
      <c r="A148" s="4">
        <v>16</v>
      </c>
      <c r="B148" s="6">
        <v>20.399999999999999</v>
      </c>
      <c r="C148" s="6">
        <v>20.399999999999999</v>
      </c>
      <c r="D148" s="6">
        <v>20.399999999999999</v>
      </c>
      <c r="E148" s="6">
        <v>23.183900000000001</v>
      </c>
      <c r="F148" s="6">
        <v>23.183900000000001</v>
      </c>
      <c r="G148" s="6">
        <v>23.183900000000001</v>
      </c>
      <c r="H148" s="6">
        <v>25.65</v>
      </c>
      <c r="I148" s="6">
        <v>25.65</v>
      </c>
      <c r="J148" s="6">
        <v>25.65</v>
      </c>
      <c r="K148" s="6">
        <v>32.05733</v>
      </c>
      <c r="L148" s="6">
        <v>32.05733</v>
      </c>
      <c r="M148" s="6">
        <v>32.05733</v>
      </c>
      <c r="N148" s="7"/>
      <c r="O148" s="7"/>
      <c r="P148" s="7"/>
      <c r="Q148" s="7"/>
      <c r="R148" s="7"/>
      <c r="S148" s="7"/>
    </row>
    <row r="149" spans="1:19" x14ac:dyDescent="0.35">
      <c r="A149" s="4">
        <v>17</v>
      </c>
      <c r="B149" s="6">
        <v>20.3</v>
      </c>
      <c r="C149" s="6">
        <v>20.3</v>
      </c>
      <c r="D149" s="6">
        <v>20.3</v>
      </c>
      <c r="E149" s="6">
        <v>23.107600000000001</v>
      </c>
      <c r="F149" s="6">
        <v>23.107600000000001</v>
      </c>
      <c r="G149" s="6">
        <v>23.107600000000001</v>
      </c>
      <c r="H149" s="6">
        <v>25.55</v>
      </c>
      <c r="I149" s="6">
        <v>25.55</v>
      </c>
      <c r="J149" s="6">
        <v>25.55</v>
      </c>
      <c r="K149" s="6">
        <v>31.880400000000002</v>
      </c>
      <c r="L149" s="6">
        <v>31.880400000000002</v>
      </c>
      <c r="M149" s="6">
        <v>31.880400000000002</v>
      </c>
      <c r="N149" s="7"/>
      <c r="O149" s="7"/>
      <c r="P149" s="7"/>
      <c r="Q149" s="7"/>
      <c r="R149" s="7"/>
      <c r="S149" s="7"/>
    </row>
    <row r="150" spans="1:19" x14ac:dyDescent="0.35">
      <c r="A150" s="4">
        <v>18</v>
      </c>
      <c r="B150" s="6">
        <v>20.2</v>
      </c>
      <c r="C150" s="6">
        <v>20.2</v>
      </c>
      <c r="D150" s="6">
        <v>20.2</v>
      </c>
      <c r="E150" s="6">
        <v>22.845700000000001</v>
      </c>
      <c r="F150" s="6">
        <v>22.845700000000001</v>
      </c>
      <c r="G150" s="6">
        <v>22.845700000000001</v>
      </c>
      <c r="H150" s="6">
        <v>25.45</v>
      </c>
      <c r="I150" s="6">
        <v>25.45</v>
      </c>
      <c r="J150" s="6">
        <v>25.45</v>
      </c>
      <c r="K150" s="6">
        <v>31.71003</v>
      </c>
      <c r="L150" s="6">
        <v>31.71003</v>
      </c>
      <c r="M150" s="6">
        <v>31.71003</v>
      </c>
      <c r="N150" s="7"/>
      <c r="O150" s="7"/>
      <c r="P150" s="7"/>
      <c r="Q150" s="7"/>
      <c r="R150" s="7"/>
      <c r="S150" s="7"/>
    </row>
    <row r="151" spans="1:19" x14ac:dyDescent="0.35">
      <c r="A151" s="4">
        <v>19</v>
      </c>
      <c r="B151" s="6">
        <v>20.100000000000001</v>
      </c>
      <c r="C151" s="6">
        <v>20.100000000000001</v>
      </c>
      <c r="D151" s="6">
        <v>20.100000000000001</v>
      </c>
      <c r="E151" s="6">
        <v>22.759</v>
      </c>
      <c r="F151" s="6">
        <v>22.759</v>
      </c>
      <c r="G151" s="6">
        <v>22.759</v>
      </c>
      <c r="H151" s="6">
        <v>25.34</v>
      </c>
      <c r="I151" s="6">
        <v>25.34</v>
      </c>
      <c r="J151" s="6">
        <v>25.34</v>
      </c>
      <c r="K151" s="6">
        <v>31.535509999999999</v>
      </c>
      <c r="L151" s="6">
        <v>31.535509999999999</v>
      </c>
      <c r="M151" s="6">
        <v>31.535509999999999</v>
      </c>
      <c r="N151" s="7"/>
      <c r="O151" s="7"/>
      <c r="P151" s="7"/>
      <c r="Q151" s="7"/>
      <c r="R151" s="7"/>
      <c r="S151" s="7"/>
    </row>
    <row r="152" spans="1:19" x14ac:dyDescent="0.35">
      <c r="A152" s="4">
        <v>20</v>
      </c>
      <c r="B152" s="6">
        <v>20</v>
      </c>
      <c r="C152" s="6">
        <v>20</v>
      </c>
      <c r="D152" s="6">
        <v>20</v>
      </c>
      <c r="E152" s="6">
        <v>22.6694</v>
      </c>
      <c r="F152" s="6">
        <v>22.6694</v>
      </c>
      <c r="G152" s="6">
        <v>22.6694</v>
      </c>
      <c r="H152" s="6">
        <v>25.23</v>
      </c>
      <c r="I152" s="6">
        <v>25.23</v>
      </c>
      <c r="J152" s="6">
        <v>25.23</v>
      </c>
      <c r="K152" s="6">
        <v>31.360469999999999</v>
      </c>
      <c r="L152" s="6">
        <v>31.360469999999999</v>
      </c>
      <c r="M152" s="6">
        <v>31.360469999999999</v>
      </c>
      <c r="N152" s="7"/>
      <c r="O152" s="7"/>
      <c r="P152" s="7"/>
      <c r="Q152" s="7"/>
      <c r="R152" s="7"/>
      <c r="S152" s="7"/>
    </row>
    <row r="153" spans="1:19" x14ac:dyDescent="0.35">
      <c r="A153" s="4">
        <v>21</v>
      </c>
      <c r="B153" s="6">
        <v>19.899999999999999</v>
      </c>
      <c r="C153" s="6">
        <v>19.899999999999999</v>
      </c>
      <c r="D153" s="6">
        <v>19.899999999999999</v>
      </c>
      <c r="E153" s="6">
        <v>22.576599999999999</v>
      </c>
      <c r="F153" s="6">
        <v>22.576599999999999</v>
      </c>
      <c r="G153" s="6">
        <v>22.576599999999999</v>
      </c>
      <c r="H153" s="6">
        <v>24.86</v>
      </c>
      <c r="I153" s="6">
        <v>24.86</v>
      </c>
      <c r="J153" s="6">
        <v>24.86</v>
      </c>
      <c r="K153" s="6">
        <v>31.19021</v>
      </c>
      <c r="L153" s="6">
        <v>31.19021</v>
      </c>
      <c r="M153" s="6">
        <v>31.19021</v>
      </c>
      <c r="N153" s="7"/>
      <c r="O153" s="7"/>
      <c r="P153" s="7"/>
      <c r="Q153" s="7"/>
      <c r="R153" s="7"/>
      <c r="S153" s="7"/>
    </row>
    <row r="154" spans="1:19" x14ac:dyDescent="0.35">
      <c r="A154" s="4">
        <v>22</v>
      </c>
      <c r="B154" s="6">
        <v>19.79</v>
      </c>
      <c r="C154" s="6">
        <v>19.79</v>
      </c>
      <c r="D154" s="6">
        <v>19.79</v>
      </c>
      <c r="E154" s="6">
        <v>22.480699999999999</v>
      </c>
      <c r="F154" s="6">
        <v>22.480699999999999</v>
      </c>
      <c r="G154" s="6">
        <v>22.480699999999999</v>
      </c>
      <c r="H154" s="6">
        <v>24.73</v>
      </c>
      <c r="I154" s="6">
        <v>24.73</v>
      </c>
      <c r="J154" s="6">
        <v>24.73</v>
      </c>
      <c r="K154" s="6">
        <v>31.012270000000001</v>
      </c>
      <c r="L154" s="6">
        <v>31.012270000000001</v>
      </c>
      <c r="M154" s="6">
        <v>31.012270000000001</v>
      </c>
      <c r="N154" s="7"/>
      <c r="O154" s="7"/>
      <c r="P154" s="7"/>
      <c r="Q154" s="7"/>
      <c r="R154" s="7"/>
      <c r="S154" s="7"/>
    </row>
    <row r="155" spans="1:19" x14ac:dyDescent="0.35">
      <c r="A155" s="4">
        <v>23</v>
      </c>
      <c r="B155" s="6">
        <v>19.68</v>
      </c>
      <c r="C155" s="6">
        <v>19.68</v>
      </c>
      <c r="D155" s="6">
        <v>19.68</v>
      </c>
      <c r="E155" s="6">
        <v>22.381399999999999</v>
      </c>
      <c r="F155" s="6">
        <v>22.381399999999999</v>
      </c>
      <c r="G155" s="6">
        <v>22.381399999999999</v>
      </c>
      <c r="H155" s="6">
        <v>24.6</v>
      </c>
      <c r="I155" s="6">
        <v>24.6</v>
      </c>
      <c r="J155" s="6">
        <v>24.6</v>
      </c>
      <c r="K155" s="6">
        <v>30.825099999999999</v>
      </c>
      <c r="L155" s="6">
        <v>30.825099999999999</v>
      </c>
      <c r="M155" s="6">
        <v>30.825099999999999</v>
      </c>
      <c r="N155" s="7"/>
      <c r="O155" s="7"/>
      <c r="P155" s="7"/>
      <c r="Q155" s="7"/>
      <c r="R155" s="7"/>
      <c r="S155" s="7"/>
    </row>
    <row r="156" spans="1:19" x14ac:dyDescent="0.35">
      <c r="A156" s="4">
        <v>24</v>
      </c>
      <c r="B156" s="6">
        <v>19.57</v>
      </c>
      <c r="C156" s="6">
        <v>19.57</v>
      </c>
      <c r="D156" s="6">
        <v>19.57</v>
      </c>
      <c r="E156" s="6">
        <v>22.278600000000001</v>
      </c>
      <c r="F156" s="6">
        <v>22.278600000000001</v>
      </c>
      <c r="G156" s="6">
        <v>22.278600000000001</v>
      </c>
      <c r="H156" s="6">
        <v>24.47</v>
      </c>
      <c r="I156" s="6">
        <v>24.47</v>
      </c>
      <c r="J156" s="6">
        <v>24.47</v>
      </c>
      <c r="K156" s="6">
        <v>30.079630000000002</v>
      </c>
      <c r="L156" s="6">
        <v>30.079630000000002</v>
      </c>
      <c r="M156" s="6">
        <v>30.079630000000002</v>
      </c>
      <c r="N156" s="7"/>
      <c r="O156" s="7"/>
      <c r="P156" s="7"/>
      <c r="Q156" s="7"/>
      <c r="R156" s="7"/>
      <c r="S156" s="7"/>
    </row>
    <row r="157" spans="1:19" x14ac:dyDescent="0.35">
      <c r="A157" s="4">
        <v>25</v>
      </c>
      <c r="B157" s="6">
        <v>19.45</v>
      </c>
      <c r="C157" s="6">
        <v>19.45</v>
      </c>
      <c r="D157" s="6">
        <v>19.45</v>
      </c>
      <c r="E157" s="6">
        <v>22.1723</v>
      </c>
      <c r="F157" s="6">
        <v>22.1723</v>
      </c>
      <c r="G157" s="6">
        <v>22.1723</v>
      </c>
      <c r="H157" s="6">
        <v>24.34</v>
      </c>
      <c r="I157" s="6">
        <v>24.34</v>
      </c>
      <c r="J157" s="6">
        <v>24.34</v>
      </c>
      <c r="K157" s="6">
        <v>29.876950000000001</v>
      </c>
      <c r="L157" s="6">
        <v>29.876950000000001</v>
      </c>
      <c r="M157" s="6">
        <v>29.876950000000001</v>
      </c>
      <c r="N157" s="7"/>
      <c r="O157" s="7"/>
      <c r="P157" s="7"/>
      <c r="Q157" s="7"/>
      <c r="R157" s="7"/>
      <c r="S157" s="7"/>
    </row>
    <row r="158" spans="1:19" x14ac:dyDescent="0.35">
      <c r="A158" s="4">
        <v>26</v>
      </c>
      <c r="B158" s="6">
        <v>19.329999999999998</v>
      </c>
      <c r="C158" s="6">
        <v>19.329999999999998</v>
      </c>
      <c r="D158" s="6">
        <v>19.329999999999998</v>
      </c>
      <c r="E158" s="6">
        <v>22.062200000000001</v>
      </c>
      <c r="F158" s="6">
        <v>22.062200000000001</v>
      </c>
      <c r="G158" s="6">
        <v>22.062200000000001</v>
      </c>
      <c r="H158" s="6">
        <v>24.19</v>
      </c>
      <c r="I158" s="6">
        <v>24.19</v>
      </c>
      <c r="J158" s="6">
        <v>24.19</v>
      </c>
      <c r="K158" s="6">
        <v>29.663070000000001</v>
      </c>
      <c r="L158" s="6">
        <v>29.663070000000001</v>
      </c>
      <c r="M158" s="6">
        <v>29.663070000000001</v>
      </c>
      <c r="N158" s="7"/>
      <c r="O158" s="7"/>
      <c r="P158" s="7"/>
      <c r="Q158" s="7"/>
      <c r="R158" s="7"/>
      <c r="S158" s="7"/>
    </row>
    <row r="159" spans="1:19" x14ac:dyDescent="0.35">
      <c r="A159" s="4">
        <v>27</v>
      </c>
      <c r="B159" s="6">
        <v>19.2</v>
      </c>
      <c r="C159" s="6">
        <v>19.2</v>
      </c>
      <c r="D159" s="6">
        <v>19.2</v>
      </c>
      <c r="E159" s="6">
        <v>21.9483</v>
      </c>
      <c r="F159" s="6">
        <v>21.9483</v>
      </c>
      <c r="G159" s="6">
        <v>21.9483</v>
      </c>
      <c r="H159" s="6">
        <v>24.05</v>
      </c>
      <c r="I159" s="6">
        <v>24.05</v>
      </c>
      <c r="J159" s="6">
        <v>24.05</v>
      </c>
      <c r="K159" s="6">
        <v>29.441269999999999</v>
      </c>
      <c r="L159" s="6">
        <v>29.441269999999999</v>
      </c>
      <c r="M159" s="6">
        <v>29.441269999999999</v>
      </c>
      <c r="N159" s="7"/>
      <c r="O159" s="7"/>
      <c r="P159" s="7"/>
      <c r="Q159" s="7"/>
      <c r="R159" s="7"/>
      <c r="S159" s="7"/>
    </row>
    <row r="160" spans="1:19" x14ac:dyDescent="0.35">
      <c r="A160" s="4">
        <v>28</v>
      </c>
      <c r="B160" s="6">
        <v>19.07</v>
      </c>
      <c r="C160" s="6">
        <v>19.07</v>
      </c>
      <c r="D160" s="6">
        <v>19.07</v>
      </c>
      <c r="E160" s="6">
        <v>21.565100000000001</v>
      </c>
      <c r="F160" s="6">
        <v>21.565100000000001</v>
      </c>
      <c r="G160" s="6">
        <v>21.565100000000001</v>
      </c>
      <c r="H160" s="6">
        <v>23.9</v>
      </c>
      <c r="I160" s="6">
        <v>23.9</v>
      </c>
      <c r="J160" s="6">
        <v>23.9</v>
      </c>
      <c r="K160" s="6">
        <v>29.218509999999998</v>
      </c>
      <c r="L160" s="6">
        <v>29.218509999999998</v>
      </c>
      <c r="M160" s="6">
        <v>29.218509999999998</v>
      </c>
      <c r="N160" s="7"/>
      <c r="O160" s="7"/>
      <c r="P160" s="7"/>
      <c r="Q160" s="7"/>
      <c r="R160" s="7"/>
      <c r="S160" s="7"/>
    </row>
    <row r="161" spans="1:19" x14ac:dyDescent="0.35">
      <c r="A161" s="4">
        <v>29</v>
      </c>
      <c r="B161" s="6">
        <v>18.940000000000001</v>
      </c>
      <c r="C161" s="6">
        <v>18.940000000000001</v>
      </c>
      <c r="D161" s="6">
        <v>18.940000000000001</v>
      </c>
      <c r="E161" s="6">
        <v>21.435700000000001</v>
      </c>
      <c r="F161" s="6">
        <v>21.435700000000001</v>
      </c>
      <c r="G161" s="6">
        <v>21.435700000000001</v>
      </c>
      <c r="H161" s="6">
        <v>23.74</v>
      </c>
      <c r="I161" s="6">
        <v>23.74</v>
      </c>
      <c r="J161" s="6">
        <v>23.74</v>
      </c>
      <c r="K161" s="6">
        <v>28.988900000000001</v>
      </c>
      <c r="L161" s="6">
        <v>28.988900000000001</v>
      </c>
      <c r="M161" s="6">
        <v>28.988900000000001</v>
      </c>
      <c r="N161" s="7"/>
      <c r="O161" s="7"/>
      <c r="P161" s="7"/>
      <c r="Q161" s="7"/>
      <c r="R161" s="7"/>
      <c r="S161" s="7"/>
    </row>
    <row r="162" spans="1:19" x14ac:dyDescent="0.35">
      <c r="A162" s="4">
        <v>30</v>
      </c>
      <c r="B162" s="6">
        <v>18.8</v>
      </c>
      <c r="C162" s="6">
        <v>18.8</v>
      </c>
      <c r="D162" s="6">
        <v>18.8</v>
      </c>
      <c r="E162" s="6">
        <v>21.3018</v>
      </c>
      <c r="F162" s="6">
        <v>21.3018</v>
      </c>
      <c r="G162" s="6">
        <v>21.3018</v>
      </c>
      <c r="H162" s="6">
        <v>23.59</v>
      </c>
      <c r="I162" s="6">
        <v>23.59</v>
      </c>
      <c r="J162" s="6">
        <v>23.59</v>
      </c>
      <c r="K162" s="6">
        <v>28.755289999999999</v>
      </c>
      <c r="L162" s="6">
        <v>28.755289999999999</v>
      </c>
      <c r="M162" s="6">
        <v>28.755289999999999</v>
      </c>
      <c r="N162" s="7"/>
      <c r="O162" s="7"/>
      <c r="P162" s="7"/>
      <c r="Q162" s="7"/>
      <c r="R162" s="7"/>
      <c r="S162" s="7"/>
    </row>
    <row r="163" spans="1:19" x14ac:dyDescent="0.35">
      <c r="A163" s="4">
        <v>31</v>
      </c>
      <c r="B163" s="6">
        <v>18.649999999999999</v>
      </c>
      <c r="C163" s="6">
        <v>18.649999999999999</v>
      </c>
      <c r="D163" s="6">
        <v>18.649999999999999</v>
      </c>
      <c r="E163" s="6">
        <v>21.1632</v>
      </c>
      <c r="F163" s="6">
        <v>21.1632</v>
      </c>
      <c r="G163" s="6">
        <v>21.1632</v>
      </c>
      <c r="H163" s="6">
        <v>23.07</v>
      </c>
      <c r="I163" s="6">
        <v>23.07</v>
      </c>
      <c r="J163" s="6">
        <v>23.07</v>
      </c>
      <c r="K163" s="6">
        <v>28.52319</v>
      </c>
      <c r="L163" s="6">
        <v>28.52319</v>
      </c>
      <c r="M163" s="6">
        <v>28.52319</v>
      </c>
      <c r="N163" s="7"/>
      <c r="O163" s="7"/>
      <c r="P163" s="7"/>
      <c r="Q163" s="7"/>
      <c r="R163" s="7"/>
      <c r="S163" s="7"/>
    </row>
    <row r="164" spans="1:19" x14ac:dyDescent="0.35">
      <c r="A164" s="4">
        <v>32</v>
      </c>
      <c r="B164" s="6">
        <v>18.510000000000002</v>
      </c>
      <c r="C164" s="6">
        <v>18.510000000000002</v>
      </c>
      <c r="D164" s="6">
        <v>18.510000000000002</v>
      </c>
      <c r="E164" s="6">
        <v>21.0197</v>
      </c>
      <c r="F164" s="6">
        <v>21.0197</v>
      </c>
      <c r="G164" s="6">
        <v>21.0197</v>
      </c>
      <c r="H164" s="6">
        <v>22.89</v>
      </c>
      <c r="I164" s="6">
        <v>22.89</v>
      </c>
      <c r="J164" s="6">
        <v>22.89</v>
      </c>
      <c r="K164" s="6">
        <v>28.287289999999999</v>
      </c>
      <c r="L164" s="6">
        <v>28.287289999999999</v>
      </c>
      <c r="M164" s="6">
        <v>28.287289999999999</v>
      </c>
      <c r="N164" s="7"/>
      <c r="O164" s="7"/>
      <c r="P164" s="7"/>
      <c r="Q164" s="7"/>
      <c r="R164" s="7"/>
      <c r="S164" s="7"/>
    </row>
    <row r="165" spans="1:19" x14ac:dyDescent="0.35">
      <c r="A165" s="4">
        <v>33</v>
      </c>
      <c r="B165" s="6">
        <v>18.350000000000001</v>
      </c>
      <c r="C165" s="6">
        <v>18.350000000000001</v>
      </c>
      <c r="D165" s="6">
        <v>18.350000000000001</v>
      </c>
      <c r="E165" s="6">
        <v>20.871099999999998</v>
      </c>
      <c r="F165" s="6">
        <v>20.871099999999998</v>
      </c>
      <c r="G165" s="6">
        <v>20.871099999999998</v>
      </c>
      <c r="H165" s="6">
        <v>22.71</v>
      </c>
      <c r="I165" s="6">
        <v>22.71</v>
      </c>
      <c r="J165" s="6">
        <v>22.71</v>
      </c>
      <c r="K165" s="6">
        <v>28.034690000000001</v>
      </c>
      <c r="L165" s="6">
        <v>28.034690000000001</v>
      </c>
      <c r="M165" s="6">
        <v>28.034690000000001</v>
      </c>
      <c r="N165" s="7"/>
      <c r="O165" s="7"/>
      <c r="P165" s="7"/>
      <c r="Q165" s="7"/>
      <c r="R165" s="7"/>
      <c r="S165" s="7"/>
    </row>
    <row r="166" spans="1:19" x14ac:dyDescent="0.35">
      <c r="A166" s="4">
        <v>34</v>
      </c>
      <c r="B166" s="6">
        <v>18.2</v>
      </c>
      <c r="C166" s="6">
        <v>18.2</v>
      </c>
      <c r="D166" s="6">
        <v>18.2</v>
      </c>
      <c r="E166" s="6">
        <v>20.717300000000002</v>
      </c>
      <c r="F166" s="6">
        <v>20.717300000000002</v>
      </c>
      <c r="G166" s="6">
        <v>20.717300000000002</v>
      </c>
      <c r="H166" s="6">
        <v>22.52</v>
      </c>
      <c r="I166" s="6">
        <v>22.52</v>
      </c>
      <c r="J166" s="6">
        <v>22.52</v>
      </c>
      <c r="K166" s="6">
        <v>27.065290000000001</v>
      </c>
      <c r="L166" s="6">
        <v>27.065290000000001</v>
      </c>
      <c r="M166" s="6">
        <v>27.065290000000001</v>
      </c>
      <c r="N166" s="7"/>
      <c r="O166" s="7"/>
      <c r="P166" s="7"/>
      <c r="Q166" s="7"/>
      <c r="R166" s="7"/>
      <c r="S166" s="7"/>
    </row>
    <row r="167" spans="1:19" x14ac:dyDescent="0.35">
      <c r="A167" s="4">
        <v>35</v>
      </c>
      <c r="B167" s="6">
        <v>18.04</v>
      </c>
      <c r="C167" s="6">
        <v>18.04</v>
      </c>
      <c r="D167" s="6">
        <v>18.04</v>
      </c>
      <c r="E167" s="6">
        <v>20.558</v>
      </c>
      <c r="F167" s="6">
        <v>20.558</v>
      </c>
      <c r="G167" s="6">
        <v>20.558</v>
      </c>
      <c r="H167" s="6">
        <v>22.32</v>
      </c>
      <c r="I167" s="6">
        <v>22.32</v>
      </c>
      <c r="J167" s="6">
        <v>22.32</v>
      </c>
      <c r="K167" s="6">
        <v>26.798649999999999</v>
      </c>
      <c r="L167" s="6">
        <v>26.798649999999999</v>
      </c>
      <c r="M167" s="6">
        <v>26.798649999999999</v>
      </c>
      <c r="N167" s="7"/>
      <c r="O167" s="7"/>
      <c r="P167" s="7"/>
      <c r="Q167" s="7"/>
      <c r="R167" s="7"/>
      <c r="S167" s="7"/>
    </row>
    <row r="168" spans="1:19" x14ac:dyDescent="0.35">
      <c r="A168" s="4">
        <v>36</v>
      </c>
      <c r="B168" s="6">
        <v>17.87</v>
      </c>
      <c r="C168" s="6">
        <v>17.87</v>
      </c>
      <c r="D168" s="6">
        <v>17.87</v>
      </c>
      <c r="E168" s="6">
        <v>20.393000000000001</v>
      </c>
      <c r="F168" s="6">
        <v>20.393000000000001</v>
      </c>
      <c r="G168" s="6">
        <v>20.393000000000001</v>
      </c>
      <c r="H168" s="6">
        <v>22.12</v>
      </c>
      <c r="I168" s="6">
        <v>22.12</v>
      </c>
      <c r="J168" s="6">
        <v>22.12</v>
      </c>
      <c r="K168" s="6">
        <v>26.52618</v>
      </c>
      <c r="L168" s="6">
        <v>26.52618</v>
      </c>
      <c r="M168" s="6">
        <v>26.52618</v>
      </c>
      <c r="N168" s="7"/>
      <c r="O168" s="7"/>
      <c r="P168" s="7"/>
      <c r="Q168" s="7"/>
      <c r="R168" s="7"/>
      <c r="S168" s="7"/>
    </row>
    <row r="169" spans="1:19" x14ac:dyDescent="0.35">
      <c r="A169" s="4">
        <v>37</v>
      </c>
      <c r="B169" s="6">
        <v>17.7</v>
      </c>
      <c r="C169" s="6">
        <v>17.7</v>
      </c>
      <c r="D169" s="6">
        <v>17.7</v>
      </c>
      <c r="E169" s="6">
        <v>20.222100000000001</v>
      </c>
      <c r="F169" s="6">
        <v>20.222100000000001</v>
      </c>
      <c r="G169" s="6">
        <v>20.222100000000001</v>
      </c>
      <c r="H169" s="6">
        <v>21.92</v>
      </c>
      <c r="I169" s="6">
        <v>21.92</v>
      </c>
      <c r="J169" s="6">
        <v>21.92</v>
      </c>
      <c r="K169" s="6">
        <v>26.250450000000001</v>
      </c>
      <c r="L169" s="6">
        <v>26.250450000000001</v>
      </c>
      <c r="M169" s="6">
        <v>26.250450000000001</v>
      </c>
      <c r="N169" s="7"/>
      <c r="O169" s="7"/>
      <c r="P169" s="7"/>
      <c r="Q169" s="7"/>
      <c r="R169" s="7"/>
      <c r="S169" s="7"/>
    </row>
    <row r="170" spans="1:19" x14ac:dyDescent="0.35">
      <c r="A170" s="4">
        <v>38</v>
      </c>
      <c r="B170" s="6">
        <v>17.52</v>
      </c>
      <c r="C170" s="6">
        <v>17.52</v>
      </c>
      <c r="D170" s="6">
        <v>17.52</v>
      </c>
      <c r="E170" s="6">
        <v>19.660599999999999</v>
      </c>
      <c r="F170" s="6">
        <v>19.660599999999999</v>
      </c>
      <c r="G170" s="6">
        <v>19.660599999999999</v>
      </c>
      <c r="H170" s="6">
        <v>21.7</v>
      </c>
      <c r="I170" s="6">
        <v>21.7</v>
      </c>
      <c r="J170" s="6">
        <v>21.7</v>
      </c>
      <c r="K170" s="6">
        <v>25.975529999999999</v>
      </c>
      <c r="L170" s="6">
        <v>25.975529999999999</v>
      </c>
      <c r="M170" s="6">
        <v>25.975529999999999</v>
      </c>
      <c r="N170" s="7"/>
      <c r="O170" s="7"/>
      <c r="P170" s="7"/>
      <c r="Q170" s="7"/>
      <c r="R170" s="7"/>
      <c r="S170" s="7"/>
    </row>
    <row r="171" spans="1:19" x14ac:dyDescent="0.35">
      <c r="A171" s="4">
        <v>39</v>
      </c>
      <c r="B171" s="6">
        <v>17.34</v>
      </c>
      <c r="C171" s="6">
        <v>17.34</v>
      </c>
      <c r="D171" s="6">
        <v>17.34</v>
      </c>
      <c r="E171" s="6">
        <v>19.4663</v>
      </c>
      <c r="F171" s="6">
        <v>19.4663</v>
      </c>
      <c r="G171" s="6">
        <v>19.4663</v>
      </c>
      <c r="H171" s="6">
        <v>21.48</v>
      </c>
      <c r="I171" s="6">
        <v>21.48</v>
      </c>
      <c r="J171" s="6">
        <v>21.48</v>
      </c>
      <c r="K171" s="6">
        <v>25.704180000000001</v>
      </c>
      <c r="L171" s="6">
        <v>25.704180000000001</v>
      </c>
      <c r="M171" s="6">
        <v>25.704180000000001</v>
      </c>
      <c r="N171" s="7"/>
      <c r="O171" s="7"/>
      <c r="P171" s="7"/>
      <c r="Q171" s="7"/>
      <c r="R171" s="7"/>
      <c r="S171" s="7"/>
    </row>
    <row r="172" spans="1:19" x14ac:dyDescent="0.35">
      <c r="A172" s="4">
        <v>40</v>
      </c>
      <c r="B172" s="6">
        <v>17.149999999999999</v>
      </c>
      <c r="C172" s="6">
        <v>17.149999999999999</v>
      </c>
      <c r="D172" s="6">
        <v>17.149999999999999</v>
      </c>
      <c r="E172" s="6">
        <v>19.270099999999999</v>
      </c>
      <c r="F172" s="6">
        <v>19.270099999999999</v>
      </c>
      <c r="G172" s="6">
        <v>19.270099999999999</v>
      </c>
      <c r="H172" s="6">
        <v>21.26</v>
      </c>
      <c r="I172" s="6">
        <v>21.26</v>
      </c>
      <c r="J172" s="6">
        <v>21.26</v>
      </c>
      <c r="K172" s="6">
        <v>25.429369999999999</v>
      </c>
      <c r="L172" s="6">
        <v>25.429369999999999</v>
      </c>
      <c r="M172" s="6">
        <v>25.429369999999999</v>
      </c>
      <c r="N172" s="7"/>
      <c r="O172" s="7"/>
      <c r="P172" s="7"/>
      <c r="Q172" s="7"/>
      <c r="R172" s="7"/>
      <c r="S172" s="7"/>
    </row>
    <row r="173" spans="1:19" x14ac:dyDescent="0.35">
      <c r="A173" s="4">
        <v>41</v>
      </c>
      <c r="B173" s="6">
        <v>16.95</v>
      </c>
      <c r="C173" s="6">
        <v>16.95</v>
      </c>
      <c r="D173" s="6">
        <v>16.95</v>
      </c>
      <c r="E173" s="6">
        <v>19.0732</v>
      </c>
      <c r="F173" s="6">
        <v>19.0732</v>
      </c>
      <c r="G173" s="6">
        <v>19.0732</v>
      </c>
      <c r="H173" s="6">
        <v>20.55</v>
      </c>
      <c r="I173" s="6">
        <v>20.55</v>
      </c>
      <c r="J173" s="6">
        <v>20.55</v>
      </c>
      <c r="K173" s="6">
        <v>25.157959999999999</v>
      </c>
      <c r="L173" s="6">
        <v>25.157959999999999</v>
      </c>
      <c r="M173" s="6">
        <v>25.157959999999999</v>
      </c>
      <c r="N173" s="7"/>
      <c r="O173" s="7"/>
      <c r="P173" s="7"/>
      <c r="Q173" s="7"/>
      <c r="R173" s="7"/>
      <c r="S173" s="7"/>
    </row>
    <row r="174" spans="1:19" x14ac:dyDescent="0.35">
      <c r="A174" s="4">
        <v>42</v>
      </c>
      <c r="B174" s="6">
        <v>16.75</v>
      </c>
      <c r="C174" s="6">
        <v>16.75</v>
      </c>
      <c r="D174" s="6">
        <v>16.75</v>
      </c>
      <c r="E174" s="6">
        <v>18.870899999999999</v>
      </c>
      <c r="F174" s="6">
        <v>18.870899999999999</v>
      </c>
      <c r="G174" s="6">
        <v>18.870899999999999</v>
      </c>
      <c r="H174" s="6">
        <v>20.309999999999999</v>
      </c>
      <c r="I174" s="6">
        <v>20.309999999999999</v>
      </c>
      <c r="J174" s="6">
        <v>20.309999999999999</v>
      </c>
      <c r="K174" s="6">
        <v>24.885909999999999</v>
      </c>
      <c r="L174" s="6">
        <v>24.885909999999999</v>
      </c>
      <c r="M174" s="6">
        <v>24.885909999999999</v>
      </c>
      <c r="N174" s="7"/>
      <c r="O174" s="7"/>
      <c r="P174" s="7"/>
      <c r="Q174" s="7"/>
      <c r="R174" s="7"/>
      <c r="S174" s="7"/>
    </row>
    <row r="175" spans="1:19" x14ac:dyDescent="0.35">
      <c r="A175" s="4">
        <v>43</v>
      </c>
      <c r="B175" s="6">
        <v>16.55</v>
      </c>
      <c r="C175" s="6">
        <v>16.55</v>
      </c>
      <c r="D175" s="6">
        <v>16.55</v>
      </c>
      <c r="E175" s="6">
        <v>18.663</v>
      </c>
      <c r="F175" s="6">
        <v>18.663</v>
      </c>
      <c r="G175" s="6">
        <v>18.663</v>
      </c>
      <c r="H175" s="6">
        <v>20.059999999999999</v>
      </c>
      <c r="I175" s="6">
        <v>20.059999999999999</v>
      </c>
      <c r="J175" s="6">
        <v>20.059999999999999</v>
      </c>
      <c r="K175" s="6">
        <v>24.592839999999999</v>
      </c>
      <c r="L175" s="6">
        <v>24.592839999999999</v>
      </c>
      <c r="M175" s="6">
        <v>24.592839999999999</v>
      </c>
      <c r="N175" s="7"/>
      <c r="O175" s="7"/>
      <c r="P175" s="7"/>
      <c r="Q175" s="7"/>
      <c r="R175" s="7"/>
      <c r="S175" s="7"/>
    </row>
    <row r="176" spans="1:19" x14ac:dyDescent="0.35">
      <c r="A176" s="4">
        <v>44</v>
      </c>
      <c r="B176" s="6">
        <v>16.34</v>
      </c>
      <c r="C176" s="6">
        <v>16.34</v>
      </c>
      <c r="D176" s="6">
        <v>16.34</v>
      </c>
      <c r="E176" s="6">
        <v>18.4495</v>
      </c>
      <c r="F176" s="6">
        <v>18.4495</v>
      </c>
      <c r="G176" s="6">
        <v>18.4495</v>
      </c>
      <c r="H176" s="6">
        <v>19.809999999999999</v>
      </c>
      <c r="I176" s="6">
        <v>19.809999999999999</v>
      </c>
      <c r="J176" s="6">
        <v>19.809999999999999</v>
      </c>
      <c r="K176" s="6">
        <v>23.44314</v>
      </c>
      <c r="L176" s="6">
        <v>23.44314</v>
      </c>
      <c r="M176" s="6">
        <v>23.44314</v>
      </c>
      <c r="N176" s="7"/>
      <c r="O176" s="7"/>
      <c r="P176" s="7"/>
      <c r="Q176" s="7"/>
      <c r="R176" s="7"/>
      <c r="S176" s="7"/>
    </row>
    <row r="177" spans="1:19" x14ac:dyDescent="0.35">
      <c r="A177" s="4">
        <v>45</v>
      </c>
      <c r="B177" s="6">
        <v>16.12</v>
      </c>
      <c r="C177" s="6">
        <v>16.12</v>
      </c>
      <c r="D177" s="6">
        <v>16.12</v>
      </c>
      <c r="E177" s="6">
        <v>18.2301</v>
      </c>
      <c r="F177" s="6">
        <v>18.2301</v>
      </c>
      <c r="G177" s="6">
        <v>18.2301</v>
      </c>
      <c r="H177" s="6">
        <v>19.55</v>
      </c>
      <c r="I177" s="6">
        <v>19.55</v>
      </c>
      <c r="J177" s="6">
        <v>19.55</v>
      </c>
      <c r="K177" s="6">
        <v>23.13993</v>
      </c>
      <c r="L177" s="6">
        <v>23.13993</v>
      </c>
      <c r="M177" s="6">
        <v>23.13993</v>
      </c>
      <c r="N177" s="7"/>
      <c r="O177" s="7"/>
      <c r="P177" s="7"/>
      <c r="Q177" s="7"/>
      <c r="R177" s="7"/>
      <c r="S177" s="7"/>
    </row>
    <row r="178" spans="1:19" x14ac:dyDescent="0.35">
      <c r="A178" s="4">
        <v>46</v>
      </c>
      <c r="B178" s="6">
        <v>15.9</v>
      </c>
      <c r="C178" s="6">
        <v>15.9</v>
      </c>
      <c r="D178" s="6">
        <v>15.9</v>
      </c>
      <c r="E178" s="6">
        <v>18.004799999999999</v>
      </c>
      <c r="F178" s="6">
        <v>18.004799999999999</v>
      </c>
      <c r="G178" s="6">
        <v>18.004799999999999</v>
      </c>
      <c r="H178" s="6">
        <v>19.29</v>
      </c>
      <c r="I178" s="6">
        <v>19.29</v>
      </c>
      <c r="J178" s="6">
        <v>19.29</v>
      </c>
      <c r="K178" s="6">
        <v>22.823630000000001</v>
      </c>
      <c r="L178" s="6">
        <v>22.823630000000001</v>
      </c>
      <c r="M178" s="6">
        <v>22.823630000000001</v>
      </c>
      <c r="N178" s="7"/>
      <c r="O178" s="7"/>
      <c r="P178" s="7"/>
      <c r="Q178" s="7"/>
      <c r="R178" s="7"/>
      <c r="S178" s="7"/>
    </row>
    <row r="179" spans="1:19" x14ac:dyDescent="0.35">
      <c r="A179" s="4">
        <v>47</v>
      </c>
      <c r="B179" s="6">
        <v>15.67</v>
      </c>
      <c r="C179" s="6">
        <v>15.67</v>
      </c>
      <c r="D179" s="6">
        <v>15.67</v>
      </c>
      <c r="E179" s="6">
        <v>17.773399999999999</v>
      </c>
      <c r="F179" s="6">
        <v>17.773399999999999</v>
      </c>
      <c r="G179" s="6">
        <v>17.773399999999999</v>
      </c>
      <c r="H179" s="6">
        <v>19.02</v>
      </c>
      <c r="I179" s="6">
        <v>19.02</v>
      </c>
      <c r="J179" s="6">
        <v>19.02</v>
      </c>
      <c r="K179" s="6">
        <v>22.51361</v>
      </c>
      <c r="L179" s="6">
        <v>22.51361</v>
      </c>
      <c r="M179" s="6">
        <v>22.51361</v>
      </c>
      <c r="N179" s="7"/>
      <c r="O179" s="7"/>
      <c r="P179" s="7"/>
      <c r="Q179" s="7"/>
      <c r="R179" s="7"/>
      <c r="S179" s="7"/>
    </row>
    <row r="180" spans="1:19" x14ac:dyDescent="0.35">
      <c r="A180" s="4">
        <v>48</v>
      </c>
      <c r="B180" s="6">
        <v>15.43</v>
      </c>
      <c r="C180" s="6">
        <v>15.43</v>
      </c>
      <c r="D180" s="6">
        <v>15.43</v>
      </c>
      <c r="E180" s="6">
        <v>17.0306</v>
      </c>
      <c r="F180" s="6">
        <v>17.0306</v>
      </c>
      <c r="G180" s="6">
        <v>17.0306</v>
      </c>
      <c r="H180" s="6">
        <v>18.739999999999998</v>
      </c>
      <c r="I180" s="6">
        <v>18.739999999999998</v>
      </c>
      <c r="J180" s="6">
        <v>18.739999999999998</v>
      </c>
      <c r="K180" s="6">
        <v>22.21386</v>
      </c>
      <c r="L180" s="6">
        <v>22.21386</v>
      </c>
      <c r="M180" s="6">
        <v>22.21386</v>
      </c>
      <c r="N180" s="7"/>
      <c r="O180" s="7"/>
      <c r="P180" s="7"/>
      <c r="Q180" s="7"/>
      <c r="R180" s="7"/>
      <c r="S180" s="7"/>
    </row>
    <row r="181" spans="1:19" x14ac:dyDescent="0.35">
      <c r="A181" s="4">
        <v>49</v>
      </c>
      <c r="B181" s="6">
        <v>15.19</v>
      </c>
      <c r="C181" s="6">
        <v>15.19</v>
      </c>
      <c r="D181" s="6">
        <v>15.19</v>
      </c>
      <c r="E181" s="6">
        <v>16.779900000000001</v>
      </c>
      <c r="F181" s="6">
        <v>16.779900000000001</v>
      </c>
      <c r="G181" s="6">
        <v>16.779900000000001</v>
      </c>
      <c r="H181" s="6">
        <v>18.46</v>
      </c>
      <c r="I181" s="6">
        <v>18.46</v>
      </c>
      <c r="J181" s="6">
        <v>18.46</v>
      </c>
      <c r="K181" s="6">
        <v>21.914750000000002</v>
      </c>
      <c r="L181" s="6">
        <v>21.914750000000002</v>
      </c>
      <c r="M181" s="6">
        <v>21.914750000000002</v>
      </c>
      <c r="N181" s="7"/>
      <c r="O181" s="7"/>
      <c r="P181" s="7"/>
      <c r="Q181" s="7"/>
      <c r="R181" s="7"/>
      <c r="S181" s="7"/>
    </row>
    <row r="182" spans="1:19" x14ac:dyDescent="0.35">
      <c r="A182" s="4">
        <v>50</v>
      </c>
      <c r="B182" s="6">
        <v>14.94</v>
      </c>
      <c r="C182" s="6">
        <v>14.94</v>
      </c>
      <c r="D182" s="6">
        <v>14.94</v>
      </c>
      <c r="E182" s="6">
        <v>16.5228</v>
      </c>
      <c r="F182" s="6">
        <v>16.5228</v>
      </c>
      <c r="G182" s="6">
        <v>16.5228</v>
      </c>
      <c r="H182" s="6">
        <v>18.170000000000002</v>
      </c>
      <c r="I182" s="6">
        <v>18.170000000000002</v>
      </c>
      <c r="J182" s="6">
        <v>18.170000000000002</v>
      </c>
      <c r="K182" s="6">
        <v>21.607510000000001</v>
      </c>
      <c r="L182" s="6">
        <v>21.607510000000001</v>
      </c>
      <c r="M182" s="6">
        <v>21.607510000000001</v>
      </c>
      <c r="N182" s="7"/>
      <c r="O182" s="7"/>
      <c r="P182" s="7"/>
      <c r="Q182" s="7"/>
      <c r="R182" s="7"/>
      <c r="S182" s="7"/>
    </row>
    <row r="183" spans="1:19" x14ac:dyDescent="0.35">
      <c r="A183" s="4">
        <v>51</v>
      </c>
      <c r="B183" s="6">
        <v>14.68</v>
      </c>
      <c r="C183" s="6">
        <v>14.68</v>
      </c>
      <c r="D183" s="6">
        <v>14.68</v>
      </c>
      <c r="E183" s="6">
        <v>16.259399999999999</v>
      </c>
      <c r="F183" s="6">
        <v>16.259399999999999</v>
      </c>
      <c r="G183" s="6">
        <v>16.259399999999999</v>
      </c>
      <c r="H183" s="6">
        <v>17.28</v>
      </c>
      <c r="I183" s="6">
        <v>17.28</v>
      </c>
      <c r="J183" s="6">
        <v>17.28</v>
      </c>
      <c r="K183" s="6">
        <v>21.302420000000001</v>
      </c>
      <c r="L183" s="6">
        <v>21.302420000000001</v>
      </c>
      <c r="M183" s="6">
        <v>21.302420000000001</v>
      </c>
      <c r="N183" s="7"/>
      <c r="O183" s="7"/>
      <c r="P183" s="7"/>
      <c r="Q183" s="7"/>
      <c r="R183" s="7"/>
      <c r="S183" s="7"/>
    </row>
    <row r="184" spans="1:19" x14ac:dyDescent="0.35">
      <c r="A184" s="4">
        <v>52</v>
      </c>
      <c r="B184" s="6">
        <v>14.42</v>
      </c>
      <c r="C184" s="6">
        <v>14.42</v>
      </c>
      <c r="D184" s="6">
        <v>14.42</v>
      </c>
      <c r="E184" s="6">
        <v>15.9894</v>
      </c>
      <c r="F184" s="6">
        <v>15.9894</v>
      </c>
      <c r="G184" s="6">
        <v>15.9894</v>
      </c>
      <c r="H184" s="6">
        <v>16.98</v>
      </c>
      <c r="I184" s="6">
        <v>16.98</v>
      </c>
      <c r="J184" s="6">
        <v>16.98</v>
      </c>
      <c r="K184" s="6">
        <v>20.97654</v>
      </c>
      <c r="L184" s="6">
        <v>20.97654</v>
      </c>
      <c r="M184" s="6">
        <v>20.97654</v>
      </c>
      <c r="N184" s="7"/>
      <c r="O184" s="7"/>
      <c r="P184" s="7"/>
      <c r="Q184" s="7"/>
      <c r="R184" s="7"/>
      <c r="S184" s="7"/>
    </row>
    <row r="185" spans="1:19" x14ac:dyDescent="0.35">
      <c r="A185" s="4">
        <v>53</v>
      </c>
      <c r="B185" s="6">
        <v>14.14</v>
      </c>
      <c r="C185" s="6">
        <v>14.14</v>
      </c>
      <c r="D185" s="6">
        <v>14.14</v>
      </c>
      <c r="E185" s="6">
        <v>15.7126</v>
      </c>
      <c r="F185" s="6">
        <v>15.7126</v>
      </c>
      <c r="G185" s="6">
        <v>15.7126</v>
      </c>
      <c r="H185" s="6">
        <v>16.66</v>
      </c>
      <c r="I185" s="6">
        <v>16.66</v>
      </c>
      <c r="J185" s="6">
        <v>16.66</v>
      </c>
      <c r="K185" s="6">
        <v>20.632239999999999</v>
      </c>
      <c r="L185" s="6">
        <v>20.632239999999999</v>
      </c>
      <c r="M185" s="6">
        <v>20.632239999999999</v>
      </c>
      <c r="N185" s="7"/>
      <c r="O185" s="7"/>
      <c r="P185" s="7"/>
      <c r="Q185" s="7"/>
      <c r="R185" s="7"/>
      <c r="S185" s="7"/>
    </row>
    <row r="186" spans="1:19" x14ac:dyDescent="0.35">
      <c r="A186" s="4">
        <v>54</v>
      </c>
      <c r="B186" s="6">
        <v>13.87</v>
      </c>
      <c r="C186" s="6">
        <v>13.87</v>
      </c>
      <c r="D186" s="6">
        <v>13.87</v>
      </c>
      <c r="E186" s="6">
        <v>15.428900000000001</v>
      </c>
      <c r="F186" s="6">
        <v>15.428900000000001</v>
      </c>
      <c r="G186" s="6">
        <v>15.428900000000001</v>
      </c>
      <c r="H186" s="6">
        <v>16.34</v>
      </c>
      <c r="I186" s="6">
        <v>16.34</v>
      </c>
      <c r="J186" s="6">
        <v>16.34</v>
      </c>
      <c r="K186" s="6">
        <v>19.367760000000001</v>
      </c>
      <c r="L186" s="6">
        <v>19.367760000000001</v>
      </c>
      <c r="M186" s="6">
        <v>19.367760000000001</v>
      </c>
      <c r="N186" s="7"/>
      <c r="O186" s="7"/>
      <c r="P186" s="7"/>
      <c r="Q186" s="7"/>
      <c r="R186" s="7"/>
      <c r="S186" s="7"/>
    </row>
    <row r="187" spans="1:19" x14ac:dyDescent="0.35">
      <c r="A187" s="4">
        <v>55</v>
      </c>
      <c r="B187" s="6">
        <v>13.58</v>
      </c>
      <c r="C187" s="6">
        <v>13.58</v>
      </c>
      <c r="D187" s="6">
        <v>13.58</v>
      </c>
      <c r="E187" s="6">
        <v>15.138</v>
      </c>
      <c r="F187" s="6">
        <v>15.138</v>
      </c>
      <c r="G187" s="6">
        <v>15.138</v>
      </c>
      <c r="H187" s="6">
        <v>16.010000000000002</v>
      </c>
      <c r="I187" s="6">
        <v>16.010000000000002</v>
      </c>
      <c r="J187" s="6">
        <v>16.010000000000002</v>
      </c>
      <c r="K187" s="6">
        <v>19.04561</v>
      </c>
      <c r="L187" s="6">
        <v>19.04561</v>
      </c>
      <c r="M187" s="6">
        <v>19.04561</v>
      </c>
      <c r="N187" s="7"/>
      <c r="O187" s="7"/>
      <c r="P187" s="7"/>
      <c r="Q187" s="7"/>
      <c r="R187" s="7"/>
      <c r="S187" s="7"/>
    </row>
    <row r="188" spans="1:19" x14ac:dyDescent="0.35">
      <c r="A188" s="4">
        <v>56</v>
      </c>
      <c r="B188" s="6">
        <v>13.28</v>
      </c>
      <c r="C188" s="6">
        <v>13.28</v>
      </c>
      <c r="D188" s="6">
        <v>13.28</v>
      </c>
      <c r="E188" s="6">
        <v>14.8399</v>
      </c>
      <c r="F188" s="6">
        <v>14.8399</v>
      </c>
      <c r="G188" s="6">
        <v>14.8399</v>
      </c>
      <c r="H188" s="6">
        <v>15.68</v>
      </c>
      <c r="I188" s="6">
        <v>15.68</v>
      </c>
      <c r="J188" s="6">
        <v>15.68</v>
      </c>
      <c r="K188" s="6">
        <v>18.705780000000001</v>
      </c>
      <c r="L188" s="6">
        <v>18.705780000000001</v>
      </c>
      <c r="M188" s="6">
        <v>18.705780000000001</v>
      </c>
      <c r="N188" s="7"/>
      <c r="O188" s="7"/>
      <c r="P188" s="7"/>
      <c r="Q188" s="7"/>
      <c r="R188" s="7"/>
      <c r="S188" s="7"/>
    </row>
    <row r="189" spans="1:19" x14ac:dyDescent="0.35">
      <c r="A189" s="4">
        <v>57</v>
      </c>
      <c r="B189" s="6">
        <v>12.98</v>
      </c>
      <c r="C189" s="6">
        <v>12.98</v>
      </c>
      <c r="D189" s="6">
        <v>12.98</v>
      </c>
      <c r="E189" s="6">
        <v>14.5341</v>
      </c>
      <c r="F189" s="6">
        <v>14.5341</v>
      </c>
      <c r="G189" s="6">
        <v>14.5341</v>
      </c>
      <c r="H189" s="6">
        <v>15.34</v>
      </c>
      <c r="I189" s="6">
        <v>15.34</v>
      </c>
      <c r="J189" s="6">
        <v>15.34</v>
      </c>
      <c r="K189" s="6">
        <v>18.364139999999999</v>
      </c>
      <c r="L189" s="6">
        <v>18.364139999999999</v>
      </c>
      <c r="M189" s="6">
        <v>18.364139999999999</v>
      </c>
      <c r="N189" s="7"/>
      <c r="O189" s="7"/>
      <c r="P189" s="7"/>
      <c r="Q189" s="7"/>
      <c r="R189" s="7"/>
      <c r="S189" s="7"/>
    </row>
    <row r="190" spans="1:19" x14ac:dyDescent="0.35">
      <c r="A190" s="4">
        <v>58</v>
      </c>
      <c r="B190" s="6">
        <v>12.67</v>
      </c>
      <c r="C190" s="6">
        <v>12.67</v>
      </c>
      <c r="D190" s="6">
        <v>12.67</v>
      </c>
      <c r="E190" s="6">
        <v>13.5884</v>
      </c>
      <c r="F190" s="6">
        <v>13.5884</v>
      </c>
      <c r="G190" s="6">
        <v>13.5884</v>
      </c>
      <c r="H190" s="6">
        <v>14.99</v>
      </c>
      <c r="I190" s="6">
        <v>14.99</v>
      </c>
      <c r="J190" s="6">
        <v>14.99</v>
      </c>
      <c r="K190" s="6">
        <v>18.021049999999999</v>
      </c>
      <c r="L190" s="6">
        <v>18.021049999999999</v>
      </c>
      <c r="M190" s="6">
        <v>18.021049999999999</v>
      </c>
      <c r="N190" s="7"/>
      <c r="O190" s="7"/>
      <c r="P190" s="7"/>
      <c r="Q190" s="7"/>
      <c r="R190" s="7"/>
      <c r="S190" s="7"/>
    </row>
    <row r="191" spans="1:19" x14ac:dyDescent="0.35">
      <c r="A191" s="4">
        <v>59</v>
      </c>
      <c r="B191" s="6">
        <v>12.35</v>
      </c>
      <c r="C191" s="6">
        <v>12.35</v>
      </c>
      <c r="D191" s="6">
        <v>12.35</v>
      </c>
      <c r="E191" s="6">
        <v>13.264099999999999</v>
      </c>
      <c r="F191" s="6">
        <v>13.264099999999999</v>
      </c>
      <c r="G191" s="6">
        <v>13.264099999999999</v>
      </c>
      <c r="H191" s="6">
        <v>14.63</v>
      </c>
      <c r="I191" s="6">
        <v>14.63</v>
      </c>
      <c r="J191" s="6">
        <v>14.63</v>
      </c>
      <c r="K191" s="6">
        <v>17.67559</v>
      </c>
      <c r="L191" s="6">
        <v>17.67559</v>
      </c>
      <c r="M191" s="6">
        <v>17.67559</v>
      </c>
      <c r="N191" s="7"/>
      <c r="O191" s="7"/>
      <c r="P191" s="7"/>
      <c r="Q191" s="7"/>
      <c r="R191" s="7"/>
      <c r="S191" s="7"/>
    </row>
    <row r="192" spans="1:19" x14ac:dyDescent="0.35">
      <c r="A192" s="4">
        <v>60</v>
      </c>
      <c r="B192" s="6">
        <v>12.03</v>
      </c>
      <c r="C192" s="6">
        <v>12.03</v>
      </c>
      <c r="D192" s="6">
        <v>12.03</v>
      </c>
      <c r="E192" s="6">
        <v>12.9343</v>
      </c>
      <c r="F192" s="6">
        <v>12.9343</v>
      </c>
      <c r="G192" s="6">
        <v>12.9343</v>
      </c>
      <c r="H192" s="6">
        <v>14.27</v>
      </c>
      <c r="I192" s="6">
        <v>14.27</v>
      </c>
      <c r="J192" s="6">
        <v>14.27</v>
      </c>
      <c r="K192" s="6">
        <v>17.306039999999999</v>
      </c>
      <c r="L192" s="6">
        <v>17.306039999999999</v>
      </c>
      <c r="M192" s="6">
        <v>17.306039999999999</v>
      </c>
      <c r="N192" s="7"/>
      <c r="O192" s="7"/>
      <c r="P192" s="7"/>
      <c r="Q192" s="7"/>
      <c r="R192" s="7"/>
      <c r="S192" s="7"/>
    </row>
    <row r="193" spans="1:19" x14ac:dyDescent="0.35">
      <c r="A193" s="4">
        <v>61</v>
      </c>
      <c r="B193" s="6">
        <v>11.73</v>
      </c>
      <c r="C193" s="6">
        <v>11.73</v>
      </c>
      <c r="D193" s="6">
        <v>11.73</v>
      </c>
      <c r="E193" s="6">
        <v>12.602600000000001</v>
      </c>
      <c r="F193" s="6">
        <v>12.602600000000001</v>
      </c>
      <c r="G193" s="6">
        <v>12.602600000000001</v>
      </c>
      <c r="H193" s="6">
        <v>13.2</v>
      </c>
      <c r="I193" s="6">
        <v>13.2</v>
      </c>
      <c r="J193" s="6">
        <v>13.2</v>
      </c>
      <c r="K193" s="6">
        <v>16.917719999999999</v>
      </c>
      <c r="L193" s="6">
        <v>16.917719999999999</v>
      </c>
      <c r="M193" s="6">
        <v>16.917719999999999</v>
      </c>
      <c r="N193" s="7"/>
      <c r="O193" s="7"/>
      <c r="P193" s="7"/>
      <c r="Q193" s="7"/>
      <c r="R193" s="7"/>
      <c r="S193" s="7"/>
    </row>
    <row r="194" spans="1:19" x14ac:dyDescent="0.35">
      <c r="A194" s="4">
        <v>62</v>
      </c>
      <c r="B194" s="6">
        <v>11.42</v>
      </c>
      <c r="C194" s="6">
        <v>11.42</v>
      </c>
      <c r="D194" s="6">
        <v>11.42</v>
      </c>
      <c r="E194" s="6">
        <v>12.2682</v>
      </c>
      <c r="F194" s="6">
        <v>12.2682</v>
      </c>
      <c r="G194" s="6">
        <v>12.2682</v>
      </c>
      <c r="H194" s="6">
        <v>12.84</v>
      </c>
      <c r="I194" s="6">
        <v>12.84</v>
      </c>
      <c r="J194" s="6">
        <v>12.84</v>
      </c>
      <c r="K194" s="6">
        <v>16.524319999999999</v>
      </c>
      <c r="L194" s="6">
        <v>16.524319999999999</v>
      </c>
      <c r="M194" s="6">
        <v>16.524319999999999</v>
      </c>
      <c r="N194" s="7"/>
      <c r="O194" s="7"/>
      <c r="P194" s="7"/>
      <c r="Q194" s="7"/>
      <c r="R194" s="7"/>
      <c r="S194" s="7"/>
    </row>
    <row r="195" spans="1:19" x14ac:dyDescent="0.35">
      <c r="A195" s="4">
        <v>63</v>
      </c>
      <c r="B195" s="6">
        <v>11.1</v>
      </c>
      <c r="C195" s="6">
        <v>11.1</v>
      </c>
      <c r="D195" s="6">
        <v>11.1</v>
      </c>
      <c r="E195" s="6">
        <v>11.9316</v>
      </c>
      <c r="F195" s="6">
        <v>11.9316</v>
      </c>
      <c r="G195" s="6">
        <v>11.9316</v>
      </c>
      <c r="H195" s="6">
        <v>12.47</v>
      </c>
      <c r="I195" s="6">
        <v>12.47</v>
      </c>
      <c r="J195" s="6">
        <v>12.47</v>
      </c>
      <c r="K195" s="6">
        <v>16.11918</v>
      </c>
      <c r="L195" s="6">
        <v>16.11918</v>
      </c>
      <c r="M195" s="6">
        <v>16.11918</v>
      </c>
      <c r="N195" s="7"/>
      <c r="O195" s="7"/>
      <c r="P195" s="7"/>
      <c r="Q195" s="7"/>
      <c r="R195" s="7"/>
      <c r="S195" s="7"/>
    </row>
    <row r="196" spans="1:19" x14ac:dyDescent="0.35">
      <c r="A196" s="4">
        <v>64</v>
      </c>
      <c r="B196" s="6">
        <v>10.79</v>
      </c>
      <c r="C196" s="6">
        <v>10.79</v>
      </c>
      <c r="D196" s="6">
        <v>10.79</v>
      </c>
      <c r="E196" s="6">
        <v>11.5931</v>
      </c>
      <c r="F196" s="6">
        <v>11.5931</v>
      </c>
      <c r="G196" s="6">
        <v>11.5931</v>
      </c>
      <c r="H196" s="6">
        <v>12.1</v>
      </c>
      <c r="I196" s="6">
        <v>12.1</v>
      </c>
      <c r="J196" s="6">
        <v>12.1</v>
      </c>
      <c r="K196" s="6">
        <v>14.84497</v>
      </c>
      <c r="L196" s="6">
        <v>14.84497</v>
      </c>
      <c r="M196" s="6">
        <v>14.84497</v>
      </c>
      <c r="N196" s="7"/>
      <c r="O196" s="7"/>
      <c r="P196" s="7"/>
      <c r="Q196" s="7"/>
      <c r="R196" s="7"/>
      <c r="S196" s="7"/>
    </row>
    <row r="197" spans="1:19" x14ac:dyDescent="0.35">
      <c r="A197" s="4">
        <v>65</v>
      </c>
      <c r="B197" s="6">
        <v>10.47</v>
      </c>
      <c r="C197" s="6">
        <v>10.47</v>
      </c>
      <c r="D197" s="6">
        <v>10.47</v>
      </c>
      <c r="E197" s="6">
        <v>11.2531</v>
      </c>
      <c r="F197" s="6">
        <v>11.2531</v>
      </c>
      <c r="G197" s="6">
        <v>11.2531</v>
      </c>
      <c r="H197" s="6">
        <v>11.73</v>
      </c>
      <c r="I197" s="6">
        <v>11.73</v>
      </c>
      <c r="J197" s="6">
        <v>11.73</v>
      </c>
      <c r="K197" s="6">
        <v>14.45543</v>
      </c>
      <c r="L197" s="6">
        <v>14.45543</v>
      </c>
      <c r="M197" s="6">
        <v>14.45543</v>
      </c>
      <c r="N197" s="7"/>
      <c r="O197" s="7"/>
      <c r="P197" s="7"/>
      <c r="Q197" s="7"/>
      <c r="R197" s="7"/>
      <c r="S197" s="7"/>
    </row>
    <row r="198" spans="1:19" x14ac:dyDescent="0.35">
      <c r="A198" s="4">
        <v>66</v>
      </c>
      <c r="B198" s="6">
        <v>10.16</v>
      </c>
      <c r="C198" s="6">
        <v>10.16</v>
      </c>
      <c r="D198" s="6">
        <v>10.16</v>
      </c>
      <c r="E198" s="6">
        <v>10.9122</v>
      </c>
      <c r="F198" s="6">
        <v>10.9122</v>
      </c>
      <c r="G198" s="6">
        <v>10.9122</v>
      </c>
      <c r="H198" s="6">
        <v>11.36</v>
      </c>
      <c r="I198" s="6">
        <v>11.36</v>
      </c>
      <c r="J198" s="6">
        <v>11.36</v>
      </c>
      <c r="K198" s="6">
        <v>14.02697</v>
      </c>
      <c r="L198" s="6">
        <v>14.02697</v>
      </c>
      <c r="M198" s="6">
        <v>14.02697</v>
      </c>
      <c r="N198" s="7"/>
      <c r="O198" s="7"/>
      <c r="P198" s="7"/>
      <c r="Q198" s="7"/>
      <c r="R198" s="7"/>
      <c r="S198" s="7"/>
    </row>
    <row r="199" spans="1:19" x14ac:dyDescent="0.35">
      <c r="A199" s="4">
        <v>67</v>
      </c>
      <c r="B199" s="6">
        <v>9.84</v>
      </c>
      <c r="C199" s="6">
        <v>9.84</v>
      </c>
      <c r="D199" s="6">
        <v>9.84</v>
      </c>
      <c r="E199" s="6">
        <v>10.5708</v>
      </c>
      <c r="F199" s="6">
        <v>10.5708</v>
      </c>
      <c r="G199" s="6">
        <v>10.5708</v>
      </c>
      <c r="H199" s="6">
        <v>10.99</v>
      </c>
      <c r="I199" s="6">
        <v>10.99</v>
      </c>
      <c r="J199" s="6">
        <v>10.99</v>
      </c>
      <c r="K199" s="6">
        <v>13.57643</v>
      </c>
      <c r="L199" s="6">
        <v>13.57643</v>
      </c>
      <c r="M199" s="6">
        <v>13.57643</v>
      </c>
      <c r="N199" s="7"/>
      <c r="O199" s="7"/>
      <c r="P199" s="7"/>
      <c r="Q199" s="7"/>
      <c r="R199" s="7"/>
      <c r="S199" s="7"/>
    </row>
    <row r="200" spans="1:19" x14ac:dyDescent="0.35">
      <c r="A200" s="4">
        <v>68</v>
      </c>
      <c r="B200" s="6">
        <v>9.52</v>
      </c>
      <c r="C200" s="6">
        <v>9.52</v>
      </c>
      <c r="D200" s="6">
        <v>9.52</v>
      </c>
      <c r="E200" s="6">
        <v>9.6488999999999994</v>
      </c>
      <c r="F200" s="6">
        <v>9.6488999999999994</v>
      </c>
      <c r="G200" s="6">
        <v>9.6488999999999994</v>
      </c>
      <c r="H200" s="6">
        <v>10.63</v>
      </c>
      <c r="I200" s="6">
        <v>10.63</v>
      </c>
      <c r="J200" s="6">
        <v>10.63</v>
      </c>
      <c r="K200" s="6">
        <v>13.1388</v>
      </c>
      <c r="L200" s="6">
        <v>13.1388</v>
      </c>
      <c r="M200" s="6">
        <v>13.1388</v>
      </c>
      <c r="N200" s="7"/>
      <c r="O200" s="7"/>
      <c r="P200" s="7"/>
      <c r="Q200" s="7"/>
      <c r="R200" s="7"/>
      <c r="S200" s="7"/>
    </row>
    <row r="201" spans="1:19" x14ac:dyDescent="0.35">
      <c r="A201" s="4">
        <v>69</v>
      </c>
      <c r="B201" s="6">
        <v>9.1999999999999993</v>
      </c>
      <c r="C201" s="6">
        <v>9.1999999999999993</v>
      </c>
      <c r="D201" s="6">
        <v>9.1999999999999993</v>
      </c>
      <c r="E201" s="6">
        <v>9.3173999999999992</v>
      </c>
      <c r="F201" s="6">
        <v>9.3173999999999992</v>
      </c>
      <c r="G201" s="6">
        <v>9.3173999999999992</v>
      </c>
      <c r="H201" s="6">
        <v>10.26</v>
      </c>
      <c r="I201" s="6">
        <v>10.26</v>
      </c>
      <c r="J201" s="6">
        <v>10.26</v>
      </c>
      <c r="K201" s="6">
        <v>12.708679999999999</v>
      </c>
      <c r="L201" s="6">
        <v>12.708679999999999</v>
      </c>
      <c r="M201" s="6">
        <v>12.708679999999999</v>
      </c>
      <c r="N201" s="7"/>
      <c r="O201" s="7"/>
      <c r="P201" s="7"/>
      <c r="Q201" s="7"/>
      <c r="R201" s="7"/>
      <c r="S201" s="7"/>
    </row>
    <row r="202" spans="1:19" x14ac:dyDescent="0.35">
      <c r="A202" s="4">
        <v>70</v>
      </c>
      <c r="B202" s="6">
        <v>8.8800000000000008</v>
      </c>
      <c r="C202" s="6">
        <v>8.8800000000000008</v>
      </c>
      <c r="D202" s="6">
        <v>8.8800000000000008</v>
      </c>
      <c r="E202" s="6">
        <v>8.9878</v>
      </c>
      <c r="F202" s="6">
        <v>8.9878</v>
      </c>
      <c r="G202" s="6">
        <v>8.9878</v>
      </c>
      <c r="H202" s="6">
        <v>9.89</v>
      </c>
      <c r="I202" s="6">
        <v>9.89</v>
      </c>
      <c r="J202" s="6">
        <v>9.89</v>
      </c>
      <c r="K202" s="6">
        <v>12.25967</v>
      </c>
      <c r="L202" s="6">
        <v>12.25967</v>
      </c>
      <c r="M202" s="6">
        <v>12.25967</v>
      </c>
      <c r="N202" s="7"/>
      <c r="O202" s="7"/>
      <c r="P202" s="7"/>
      <c r="Q202" s="7"/>
      <c r="R202" s="7"/>
      <c r="S202" s="7"/>
    </row>
    <row r="203" spans="1:19" x14ac:dyDescent="0.35">
      <c r="A203" s="4">
        <v>71</v>
      </c>
      <c r="B203" s="6">
        <v>8.56</v>
      </c>
      <c r="C203" s="6">
        <v>8.56</v>
      </c>
      <c r="D203" s="6">
        <v>8.56</v>
      </c>
      <c r="E203" s="6">
        <v>8.6603999999999992</v>
      </c>
      <c r="F203" s="6">
        <v>8.6603999999999992</v>
      </c>
      <c r="G203" s="6">
        <v>8.6603999999999992</v>
      </c>
      <c r="H203" s="6">
        <v>8.9499999999999993</v>
      </c>
      <c r="I203" s="6">
        <v>8.9499999999999993</v>
      </c>
      <c r="J203" s="6">
        <v>8.9499999999999993</v>
      </c>
      <c r="K203" s="6">
        <v>11.80189</v>
      </c>
      <c r="L203" s="6">
        <v>11.80189</v>
      </c>
      <c r="M203" s="6">
        <v>11.80189</v>
      </c>
      <c r="N203" s="7"/>
      <c r="O203" s="7"/>
      <c r="P203" s="7"/>
      <c r="Q203" s="7"/>
      <c r="R203" s="7"/>
      <c r="S203" s="7"/>
    </row>
    <row r="204" spans="1:19" x14ac:dyDescent="0.35">
      <c r="A204" s="4">
        <v>72</v>
      </c>
      <c r="B204" s="6">
        <v>8.25</v>
      </c>
      <c r="C204" s="6">
        <v>8.25</v>
      </c>
      <c r="D204" s="6">
        <v>8.25</v>
      </c>
      <c r="E204" s="6">
        <v>8.3358000000000008</v>
      </c>
      <c r="F204" s="6">
        <v>8.3358000000000008</v>
      </c>
      <c r="G204" s="6">
        <v>8.3358000000000008</v>
      </c>
      <c r="H204" s="6">
        <v>8.6</v>
      </c>
      <c r="I204" s="6">
        <v>8.6</v>
      </c>
      <c r="J204" s="6">
        <v>8.6</v>
      </c>
      <c r="K204" s="6">
        <v>11.351430000000001</v>
      </c>
      <c r="L204" s="6">
        <v>11.351430000000001</v>
      </c>
      <c r="M204" s="6">
        <v>11.351430000000001</v>
      </c>
      <c r="N204" s="7"/>
      <c r="O204" s="7"/>
      <c r="P204" s="7"/>
      <c r="Q204" s="7"/>
      <c r="R204" s="7"/>
      <c r="S204" s="7"/>
    </row>
    <row r="205" spans="1:19" x14ac:dyDescent="0.35">
      <c r="A205" s="4">
        <v>73</v>
      </c>
      <c r="B205" s="6">
        <v>7.93</v>
      </c>
      <c r="C205" s="6">
        <v>7.93</v>
      </c>
      <c r="D205" s="6">
        <v>7.93</v>
      </c>
      <c r="E205" s="6">
        <v>8.0144000000000002</v>
      </c>
      <c r="F205" s="6">
        <v>8.0144000000000002</v>
      </c>
      <c r="G205" s="6">
        <v>8.0144000000000002</v>
      </c>
      <c r="H205" s="6">
        <v>8.26</v>
      </c>
      <c r="I205" s="6">
        <v>8.26</v>
      </c>
      <c r="J205" s="6">
        <v>8.26</v>
      </c>
      <c r="K205" s="6">
        <v>10.899430000000001</v>
      </c>
      <c r="L205" s="6">
        <v>10.899430000000001</v>
      </c>
      <c r="M205" s="6">
        <v>10.899430000000001</v>
      </c>
      <c r="N205" s="7"/>
      <c r="O205" s="7"/>
      <c r="P205" s="7"/>
      <c r="Q205" s="7"/>
      <c r="R205" s="7"/>
      <c r="S205" s="7"/>
    </row>
    <row r="206" spans="1:19" x14ac:dyDescent="0.35">
      <c r="A206" s="4">
        <v>74</v>
      </c>
      <c r="B206" s="6">
        <v>7.62</v>
      </c>
      <c r="C206" s="6">
        <v>7.62</v>
      </c>
      <c r="D206" s="6">
        <v>7.62</v>
      </c>
      <c r="E206" s="6">
        <v>7.6966999999999999</v>
      </c>
      <c r="F206" s="6">
        <v>7.6966999999999999</v>
      </c>
      <c r="G206" s="6">
        <v>7.6966999999999999</v>
      </c>
      <c r="H206" s="6">
        <v>7.93</v>
      </c>
      <c r="I206" s="6">
        <v>7.93</v>
      </c>
      <c r="J206" s="6">
        <v>7.93</v>
      </c>
      <c r="K206" s="6">
        <v>9.7208900000000007</v>
      </c>
      <c r="L206" s="6">
        <v>9.7208900000000007</v>
      </c>
      <c r="M206" s="6">
        <v>9.7208900000000007</v>
      </c>
      <c r="N206" s="7"/>
      <c r="O206" s="7"/>
      <c r="P206" s="7"/>
      <c r="Q206" s="7"/>
      <c r="R206" s="7"/>
      <c r="S206" s="7"/>
    </row>
    <row r="207" spans="1:19" x14ac:dyDescent="0.35">
      <c r="A207" s="4">
        <v>75</v>
      </c>
      <c r="B207" s="6">
        <v>7.32</v>
      </c>
      <c r="C207" s="6">
        <v>7.32</v>
      </c>
      <c r="D207" s="6">
        <v>7.32</v>
      </c>
      <c r="E207" s="6">
        <v>7.3830999999999998</v>
      </c>
      <c r="F207" s="6">
        <v>7.3830999999999998</v>
      </c>
      <c r="G207" s="6">
        <v>7.3830999999999998</v>
      </c>
      <c r="H207" s="6">
        <v>7.6</v>
      </c>
      <c r="I207" s="6">
        <v>7.6</v>
      </c>
      <c r="J207" s="6">
        <v>7.6</v>
      </c>
      <c r="K207" s="6">
        <v>9.3101099999999999</v>
      </c>
      <c r="L207" s="6">
        <v>9.3101099999999999</v>
      </c>
      <c r="M207" s="6">
        <v>9.3101099999999999</v>
      </c>
      <c r="N207" s="7"/>
      <c r="O207" s="7"/>
      <c r="P207" s="7"/>
      <c r="Q207" s="7"/>
      <c r="R207" s="7"/>
      <c r="S207" s="7"/>
    </row>
    <row r="208" spans="1:19" x14ac:dyDescent="0.35">
      <c r="A208" s="4">
        <v>76</v>
      </c>
      <c r="B208" s="6">
        <v>7.01</v>
      </c>
      <c r="C208" s="6">
        <v>7.01</v>
      </c>
      <c r="D208" s="6">
        <v>7.01</v>
      </c>
      <c r="E208" s="6">
        <v>7.0742000000000003</v>
      </c>
      <c r="F208" s="6">
        <v>7.0742000000000003</v>
      </c>
      <c r="G208" s="6">
        <v>7.0742000000000003</v>
      </c>
      <c r="H208" s="6">
        <v>7.27</v>
      </c>
      <c r="I208" s="6">
        <v>7.27</v>
      </c>
      <c r="J208" s="6">
        <v>7.27</v>
      </c>
      <c r="K208" s="6">
        <v>8.8936200000000003</v>
      </c>
      <c r="L208" s="6">
        <v>8.8936200000000003</v>
      </c>
      <c r="M208" s="6">
        <v>8.8936200000000003</v>
      </c>
      <c r="N208" s="7"/>
      <c r="O208" s="7"/>
      <c r="P208" s="7"/>
      <c r="Q208" s="7"/>
      <c r="R208" s="7"/>
      <c r="S208" s="7"/>
    </row>
    <row r="209" spans="1:19" x14ac:dyDescent="0.35">
      <c r="A209" s="4">
        <v>77</v>
      </c>
      <c r="B209" s="6">
        <v>6.71</v>
      </c>
      <c r="C209" s="6">
        <v>6.71</v>
      </c>
      <c r="D209" s="6">
        <v>6.71</v>
      </c>
      <c r="E209" s="6">
        <v>6.7702</v>
      </c>
      <c r="F209" s="6">
        <v>6.7702</v>
      </c>
      <c r="G209" s="6">
        <v>6.7702</v>
      </c>
      <c r="H209" s="6">
        <v>6.95</v>
      </c>
      <c r="I209" s="6">
        <v>6.95</v>
      </c>
      <c r="J209" s="6">
        <v>6.95</v>
      </c>
      <c r="K209" s="6">
        <v>8.4878900000000002</v>
      </c>
      <c r="L209" s="6">
        <v>8.4878900000000002</v>
      </c>
      <c r="M209" s="6">
        <v>8.4878900000000002</v>
      </c>
      <c r="N209" s="7"/>
      <c r="O209" s="7"/>
      <c r="P209" s="7"/>
      <c r="Q209" s="7"/>
      <c r="R209" s="7"/>
      <c r="S209" s="7"/>
    </row>
    <row r="210" spans="1:19" x14ac:dyDescent="0.35">
      <c r="A210" s="4">
        <v>78</v>
      </c>
      <c r="B210" s="6">
        <v>6.42</v>
      </c>
      <c r="C210" s="6">
        <v>6.42</v>
      </c>
      <c r="D210" s="6">
        <v>6.42</v>
      </c>
      <c r="E210" s="6">
        <v>6.4718</v>
      </c>
      <c r="F210" s="6">
        <v>6.4718</v>
      </c>
      <c r="G210" s="6">
        <v>6.4718</v>
      </c>
      <c r="H210" s="6">
        <v>6.64</v>
      </c>
      <c r="I210" s="6">
        <v>6.64</v>
      </c>
      <c r="J210" s="6">
        <v>6.64</v>
      </c>
      <c r="K210" s="6">
        <v>8.0880299999999998</v>
      </c>
      <c r="L210" s="6">
        <v>8.0880299999999998</v>
      </c>
      <c r="M210" s="6">
        <v>8.0880299999999998</v>
      </c>
      <c r="N210" s="7"/>
      <c r="O210" s="7"/>
      <c r="P210" s="7"/>
      <c r="Q210" s="7"/>
      <c r="R210" s="7"/>
      <c r="S210" s="7"/>
    </row>
    <row r="211" spans="1:19" x14ac:dyDescent="0.35">
      <c r="A211" s="4">
        <v>79</v>
      </c>
      <c r="B211" s="6">
        <v>6.13</v>
      </c>
      <c r="C211" s="6">
        <v>6.13</v>
      </c>
      <c r="D211" s="6">
        <v>6.13</v>
      </c>
      <c r="E211" s="6">
        <v>6.1791</v>
      </c>
      <c r="F211" s="6">
        <v>6.1791</v>
      </c>
      <c r="G211" s="6">
        <v>6.1791</v>
      </c>
      <c r="H211" s="6">
        <v>6.33</v>
      </c>
      <c r="I211" s="6">
        <v>6.33</v>
      </c>
      <c r="J211" s="6">
        <v>6.33</v>
      </c>
      <c r="K211" s="6">
        <v>7.6857699999999998</v>
      </c>
      <c r="L211" s="6">
        <v>7.6857699999999998</v>
      </c>
      <c r="M211" s="6">
        <v>7.6857699999999998</v>
      </c>
      <c r="N211" s="7"/>
      <c r="O211" s="7"/>
      <c r="P211" s="7"/>
      <c r="Q211" s="7"/>
      <c r="R211" s="7"/>
      <c r="S211" s="7"/>
    </row>
    <row r="212" spans="1:19" x14ac:dyDescent="0.35">
      <c r="A212" s="4">
        <v>80</v>
      </c>
      <c r="B212" s="6">
        <v>5.84</v>
      </c>
      <c r="C212" s="6">
        <v>5.84</v>
      </c>
      <c r="D212" s="6">
        <v>5.84</v>
      </c>
      <c r="E212" s="6">
        <v>5.8926999999999996</v>
      </c>
      <c r="F212" s="6">
        <v>5.8926999999999996</v>
      </c>
      <c r="G212" s="6">
        <v>5.8926999999999996</v>
      </c>
      <c r="H212" s="6">
        <v>6.03</v>
      </c>
      <c r="I212" s="6">
        <v>6.03</v>
      </c>
      <c r="J212" s="6">
        <v>6.03</v>
      </c>
      <c r="K212" s="6">
        <v>7.2847400000000002</v>
      </c>
      <c r="L212" s="6">
        <v>7.2847400000000002</v>
      </c>
      <c r="M212" s="6">
        <v>7.2847400000000002</v>
      </c>
      <c r="N212" s="7"/>
      <c r="O212" s="7"/>
      <c r="P212" s="7"/>
      <c r="Q212" s="7"/>
      <c r="R212" s="7"/>
      <c r="S212" s="7"/>
    </row>
    <row r="213" spans="1:19" x14ac:dyDescent="0.35">
      <c r="A213" s="4">
        <v>81</v>
      </c>
      <c r="B213" s="6">
        <v>5.56</v>
      </c>
      <c r="C213" s="6">
        <v>5.56</v>
      </c>
      <c r="D213" s="6">
        <v>5.56</v>
      </c>
      <c r="E213" s="6">
        <v>5.6128</v>
      </c>
      <c r="F213" s="6">
        <v>5.6128</v>
      </c>
      <c r="G213" s="6">
        <v>5.6128</v>
      </c>
      <c r="H213" s="6">
        <v>5.74</v>
      </c>
      <c r="I213" s="6">
        <v>5.74</v>
      </c>
      <c r="J213" s="6">
        <v>5.74</v>
      </c>
      <c r="K213" s="6">
        <v>6.8793199999999999</v>
      </c>
      <c r="L213" s="6">
        <v>6.8793199999999999</v>
      </c>
      <c r="M213" s="6">
        <v>6.8793199999999999</v>
      </c>
      <c r="N213" s="7"/>
      <c r="O213" s="7"/>
      <c r="P213" s="7"/>
      <c r="Q213" s="7"/>
      <c r="R213" s="7"/>
      <c r="S213" s="7"/>
    </row>
    <row r="214" spans="1:19" x14ac:dyDescent="0.35">
      <c r="A214" s="4">
        <v>82</v>
      </c>
      <c r="B214" s="6">
        <v>5.29</v>
      </c>
      <c r="C214" s="6">
        <v>5.29</v>
      </c>
      <c r="D214" s="6">
        <v>5.29</v>
      </c>
      <c r="E214" s="6">
        <v>5.3398000000000003</v>
      </c>
      <c r="F214" s="6">
        <v>5.3398000000000003</v>
      </c>
      <c r="G214" s="6">
        <v>5.3398000000000003</v>
      </c>
      <c r="H214" s="6">
        <v>5.45</v>
      </c>
      <c r="I214" s="6">
        <v>5.45</v>
      </c>
      <c r="J214" s="6">
        <v>5.45</v>
      </c>
      <c r="K214" s="6">
        <v>6.4731199999999998</v>
      </c>
      <c r="L214" s="6">
        <v>6.4731199999999998</v>
      </c>
      <c r="M214" s="6">
        <v>6.4731199999999998</v>
      </c>
      <c r="N214" s="7"/>
      <c r="O214" s="7"/>
      <c r="P214" s="7"/>
      <c r="Q214" s="7"/>
      <c r="R214" s="7"/>
      <c r="S214" s="7"/>
    </row>
    <row r="215" spans="1:19" x14ac:dyDescent="0.35">
      <c r="A215" s="4">
        <v>83</v>
      </c>
      <c r="B215" s="6">
        <v>5.03</v>
      </c>
      <c r="C215" s="6">
        <v>5.03</v>
      </c>
      <c r="D215" s="6">
        <v>5.03</v>
      </c>
      <c r="E215" s="6">
        <v>5.0739999999999998</v>
      </c>
      <c r="F215" s="6">
        <v>5.0739999999999998</v>
      </c>
      <c r="G215" s="6">
        <v>5.0739999999999998</v>
      </c>
      <c r="H215" s="6">
        <v>5.18</v>
      </c>
      <c r="I215" s="6">
        <v>5.18</v>
      </c>
      <c r="J215" s="6">
        <v>5.18</v>
      </c>
      <c r="K215" s="6">
        <v>6.0726399999999998</v>
      </c>
      <c r="L215" s="6">
        <v>6.0726399999999998</v>
      </c>
      <c r="M215" s="6">
        <v>6.0726399999999998</v>
      </c>
      <c r="N215" s="7"/>
      <c r="O215" s="7"/>
      <c r="P215" s="7"/>
      <c r="Q215" s="7"/>
      <c r="R215" s="7"/>
      <c r="S215" s="7"/>
    </row>
    <row r="216" spans="1:19" x14ac:dyDescent="0.35">
      <c r="A216" s="4">
        <v>84</v>
      </c>
      <c r="B216" s="6">
        <v>4.7699999999999996</v>
      </c>
      <c r="C216" s="6">
        <v>4.7699999999999996</v>
      </c>
      <c r="D216" s="6">
        <v>4.7699999999999996</v>
      </c>
      <c r="E216" s="6">
        <v>4.8155999999999999</v>
      </c>
      <c r="F216" s="6">
        <v>4.8155999999999999</v>
      </c>
      <c r="G216" s="6">
        <v>4.8155999999999999</v>
      </c>
      <c r="H216" s="6">
        <v>4.91</v>
      </c>
      <c r="I216" s="6">
        <v>4.91</v>
      </c>
      <c r="J216" s="6">
        <v>4.91</v>
      </c>
      <c r="K216" s="6">
        <v>5.7079500000000003</v>
      </c>
      <c r="L216" s="6">
        <v>5.7079500000000003</v>
      </c>
      <c r="M216" s="6">
        <v>5.7079500000000003</v>
      </c>
      <c r="N216" s="7"/>
      <c r="O216" s="7"/>
      <c r="P216" s="7"/>
      <c r="Q216" s="7"/>
      <c r="R216" s="7"/>
      <c r="S216" s="7"/>
    </row>
    <row r="217" spans="1:19" x14ac:dyDescent="0.35">
      <c r="A217" s="4">
        <v>85</v>
      </c>
      <c r="B217" s="6">
        <v>4.5199999999999996</v>
      </c>
      <c r="C217" s="6">
        <v>4.5199999999999996</v>
      </c>
      <c r="D217" s="6">
        <v>4.5199999999999996</v>
      </c>
      <c r="E217" s="6">
        <v>4.5648</v>
      </c>
      <c r="F217" s="6">
        <v>4.5648</v>
      </c>
      <c r="G217" s="6">
        <v>4.5648</v>
      </c>
      <c r="H217" s="6">
        <v>4.6500000000000004</v>
      </c>
      <c r="I217" s="6">
        <v>4.6500000000000004</v>
      </c>
      <c r="J217" s="6">
        <v>4.6500000000000004</v>
      </c>
      <c r="K217" s="6">
        <v>5.37676</v>
      </c>
      <c r="L217" s="6">
        <v>5.37676</v>
      </c>
      <c r="M217" s="6">
        <v>5.37676</v>
      </c>
      <c r="N217" s="7"/>
      <c r="O217" s="7"/>
      <c r="P217" s="7"/>
      <c r="Q217" s="7"/>
      <c r="R217" s="7"/>
      <c r="S217" s="7"/>
    </row>
    <row r="218" spans="1:19" x14ac:dyDescent="0.35">
      <c r="A218" s="4">
        <v>86</v>
      </c>
      <c r="B218" s="6">
        <v>4.2699999999999996</v>
      </c>
      <c r="C218" s="6">
        <v>4.2699999999999996</v>
      </c>
      <c r="D218" s="6">
        <v>4.2699999999999996</v>
      </c>
      <c r="E218" s="6">
        <v>4.3219000000000003</v>
      </c>
      <c r="F218" s="6">
        <v>4.3219000000000003</v>
      </c>
      <c r="G218" s="6">
        <v>4.3219000000000003</v>
      </c>
      <c r="H218" s="6">
        <v>4.4000000000000004</v>
      </c>
      <c r="I218" s="6">
        <v>4.4000000000000004</v>
      </c>
      <c r="J218" s="6">
        <v>4.4000000000000004</v>
      </c>
      <c r="K218" s="6">
        <v>5.0423999999999998</v>
      </c>
      <c r="L218" s="6">
        <v>5.0423999999999998</v>
      </c>
      <c r="M218" s="6">
        <v>5.0423999999999998</v>
      </c>
      <c r="N218" s="7"/>
      <c r="O218" s="7"/>
      <c r="P218" s="7"/>
      <c r="Q218" s="7"/>
      <c r="R218" s="7"/>
      <c r="S218" s="7"/>
    </row>
    <row r="219" spans="1:19" x14ac:dyDescent="0.35">
      <c r="A219" s="4">
        <v>87</v>
      </c>
      <c r="B219" s="6">
        <v>4.04</v>
      </c>
      <c r="C219" s="6">
        <v>4.04</v>
      </c>
      <c r="D219" s="6">
        <v>4.04</v>
      </c>
      <c r="E219" s="6">
        <v>4.0869999999999997</v>
      </c>
      <c r="F219" s="6">
        <v>4.0869999999999997</v>
      </c>
      <c r="G219" s="6">
        <v>4.0869999999999997</v>
      </c>
      <c r="H219" s="6">
        <v>4.16</v>
      </c>
      <c r="I219" s="6">
        <v>4.16</v>
      </c>
      <c r="J219" s="6">
        <v>4.16</v>
      </c>
      <c r="K219" s="6">
        <v>4.7130400000000003</v>
      </c>
      <c r="L219" s="6">
        <v>4.7130400000000003</v>
      </c>
      <c r="M219" s="6">
        <v>4.7130400000000003</v>
      </c>
      <c r="N219" s="7"/>
      <c r="O219" s="7"/>
      <c r="P219" s="7"/>
      <c r="Q219" s="7"/>
      <c r="R219" s="7"/>
      <c r="S219" s="7"/>
    </row>
    <row r="220" spans="1:19" x14ac:dyDescent="0.35">
      <c r="A220" s="4">
        <v>88</v>
      </c>
      <c r="B220" s="6">
        <v>3.81</v>
      </c>
      <c r="C220" s="6">
        <v>3.81</v>
      </c>
      <c r="D220" s="6">
        <v>3.81</v>
      </c>
      <c r="E220" s="6">
        <v>3.8603000000000001</v>
      </c>
      <c r="F220" s="6">
        <v>3.8603000000000001</v>
      </c>
      <c r="G220" s="6">
        <v>3.8603000000000001</v>
      </c>
      <c r="H220" s="6">
        <v>3.92</v>
      </c>
      <c r="I220" s="6">
        <v>3.92</v>
      </c>
      <c r="J220" s="6">
        <v>3.92</v>
      </c>
      <c r="K220" s="6">
        <v>4.3722399999999997</v>
      </c>
      <c r="L220" s="6">
        <v>4.3722399999999997</v>
      </c>
      <c r="M220" s="6">
        <v>4.3722399999999997</v>
      </c>
      <c r="N220" s="7"/>
      <c r="O220" s="7"/>
      <c r="P220" s="7"/>
      <c r="Q220" s="7"/>
      <c r="R220" s="7"/>
      <c r="S220" s="7"/>
    </row>
    <row r="221" spans="1:19" x14ac:dyDescent="0.35">
      <c r="A221" s="4">
        <v>89</v>
      </c>
      <c r="B221" s="6">
        <v>3.59</v>
      </c>
      <c r="C221" s="6">
        <v>3.59</v>
      </c>
      <c r="D221" s="6">
        <v>3.59</v>
      </c>
      <c r="E221" s="6">
        <v>3.6417000000000002</v>
      </c>
      <c r="F221" s="6">
        <v>3.6417000000000002</v>
      </c>
      <c r="G221" s="6">
        <v>3.6417000000000002</v>
      </c>
      <c r="H221" s="6">
        <v>3.7</v>
      </c>
      <c r="I221" s="6">
        <v>3.7</v>
      </c>
      <c r="J221" s="6">
        <v>3.7</v>
      </c>
      <c r="K221" s="6">
        <v>4.0080600000000004</v>
      </c>
      <c r="L221" s="6">
        <v>4.0080600000000004</v>
      </c>
      <c r="M221" s="6">
        <v>4.0080600000000004</v>
      </c>
      <c r="N221" s="7"/>
      <c r="O221" s="7"/>
      <c r="P221" s="7"/>
      <c r="Q221" s="7"/>
      <c r="R221" s="7"/>
      <c r="S221" s="7"/>
    </row>
    <row r="222" spans="1:19" x14ac:dyDescent="0.35">
      <c r="A222" s="4">
        <v>90</v>
      </c>
      <c r="B222" s="6">
        <v>3.38</v>
      </c>
      <c r="C222" s="6">
        <v>3.38</v>
      </c>
      <c r="D222" s="6">
        <v>3.38</v>
      </c>
      <c r="E222" s="6">
        <v>3.4314</v>
      </c>
      <c r="F222" s="6">
        <v>3.4314</v>
      </c>
      <c r="G222" s="6">
        <v>3.4314</v>
      </c>
      <c r="H222" s="6">
        <v>3.48</v>
      </c>
      <c r="I222" s="6">
        <v>3.48</v>
      </c>
      <c r="J222" s="6">
        <v>3.48</v>
      </c>
      <c r="K222" s="6">
        <v>3.6877800000000001</v>
      </c>
      <c r="L222" s="6">
        <v>3.6877800000000001</v>
      </c>
      <c r="M222" s="6">
        <v>3.6877800000000001</v>
      </c>
      <c r="N222" s="7"/>
      <c r="O222" s="7"/>
      <c r="P222" s="7"/>
      <c r="Q222" s="7"/>
      <c r="R222" s="7"/>
      <c r="S222" s="7"/>
    </row>
    <row r="223" spans="1:19" x14ac:dyDescent="0.35">
      <c r="A223" s="4">
        <v>91</v>
      </c>
      <c r="B223" s="6">
        <v>3.18</v>
      </c>
      <c r="C223" s="6">
        <v>3.18</v>
      </c>
      <c r="D223" s="6">
        <v>3.18</v>
      </c>
      <c r="E223" s="6">
        <v>3.2294</v>
      </c>
      <c r="F223" s="6">
        <v>3.2294</v>
      </c>
      <c r="G223" s="6">
        <v>3.2294</v>
      </c>
      <c r="H223" s="6">
        <v>3.28</v>
      </c>
      <c r="I223" s="6">
        <v>3.28</v>
      </c>
      <c r="J223" s="6">
        <v>3.28</v>
      </c>
      <c r="K223" s="6">
        <v>3.4504700000000001</v>
      </c>
      <c r="L223" s="6">
        <v>3.4504700000000001</v>
      </c>
      <c r="M223" s="6">
        <v>3.4504700000000001</v>
      </c>
      <c r="N223" s="7"/>
      <c r="O223" s="7"/>
      <c r="P223" s="7"/>
      <c r="Q223" s="7"/>
      <c r="R223" s="7"/>
      <c r="S223" s="7"/>
    </row>
    <row r="224" spans="1:19" x14ac:dyDescent="0.35">
      <c r="A224" s="4">
        <v>92</v>
      </c>
      <c r="B224" s="6">
        <v>2.98</v>
      </c>
      <c r="C224" s="6">
        <v>2.98</v>
      </c>
      <c r="D224" s="6">
        <v>2.98</v>
      </c>
      <c r="E224" s="6">
        <v>3.0356000000000001</v>
      </c>
      <c r="F224" s="6">
        <v>3.0356000000000001</v>
      </c>
      <c r="G224" s="6">
        <v>3.0356000000000001</v>
      </c>
      <c r="H224" s="6">
        <v>3.08</v>
      </c>
      <c r="I224" s="6">
        <v>3.08</v>
      </c>
      <c r="J224" s="6">
        <v>3.08</v>
      </c>
      <c r="K224" s="6">
        <v>3.22925</v>
      </c>
      <c r="L224" s="6">
        <v>3.22925</v>
      </c>
      <c r="M224" s="6">
        <v>3.22925</v>
      </c>
      <c r="N224" s="7"/>
      <c r="O224" s="7"/>
      <c r="P224" s="7"/>
      <c r="Q224" s="7"/>
      <c r="R224" s="7"/>
      <c r="S224" s="7"/>
    </row>
    <row r="225" spans="1:19" x14ac:dyDescent="0.35">
      <c r="A225" s="4">
        <v>93</v>
      </c>
      <c r="B225" s="6">
        <v>2.8</v>
      </c>
      <c r="C225" s="6">
        <v>2.8</v>
      </c>
      <c r="D225" s="6">
        <v>2.8</v>
      </c>
      <c r="E225" s="6">
        <v>2.8498999999999999</v>
      </c>
      <c r="F225" s="6">
        <v>2.8498999999999999</v>
      </c>
      <c r="G225" s="6">
        <v>2.8498999999999999</v>
      </c>
      <c r="H225" s="6">
        <v>2.89</v>
      </c>
      <c r="I225" s="6">
        <v>2.89</v>
      </c>
      <c r="J225" s="6">
        <v>2.89</v>
      </c>
      <c r="K225" s="6">
        <v>2.9773000000000001</v>
      </c>
      <c r="L225" s="6">
        <v>2.9773000000000001</v>
      </c>
      <c r="M225" s="6">
        <v>2.9773000000000001</v>
      </c>
      <c r="N225" s="7"/>
      <c r="O225" s="7"/>
      <c r="P225" s="7"/>
      <c r="Q225" s="7"/>
      <c r="R225" s="7"/>
      <c r="S225" s="7"/>
    </row>
    <row r="226" spans="1:19" x14ac:dyDescent="0.35">
      <c r="A226" s="4">
        <v>94</v>
      </c>
      <c r="B226" s="6">
        <v>2.62</v>
      </c>
      <c r="C226" s="6">
        <v>2.62</v>
      </c>
      <c r="D226" s="6">
        <v>2.62</v>
      </c>
      <c r="E226" s="6">
        <v>2.6720999999999999</v>
      </c>
      <c r="F226" s="6">
        <v>2.6720999999999999</v>
      </c>
      <c r="G226" s="6">
        <v>2.6720999999999999</v>
      </c>
      <c r="H226" s="6">
        <v>2.71</v>
      </c>
      <c r="I226" s="6">
        <v>2.71</v>
      </c>
      <c r="J226" s="6">
        <v>2.71</v>
      </c>
      <c r="K226" s="6">
        <v>2.6815600000000002</v>
      </c>
      <c r="L226" s="6">
        <v>2.6815600000000002</v>
      </c>
      <c r="M226" s="6">
        <v>2.6815600000000002</v>
      </c>
      <c r="N226" s="7"/>
      <c r="O226" s="7"/>
      <c r="P226" s="7"/>
      <c r="Q226" s="7"/>
      <c r="R226" s="7"/>
      <c r="S226" s="7"/>
    </row>
    <row r="227" spans="1:19" x14ac:dyDescent="0.35">
      <c r="A227" s="4">
        <v>95</v>
      </c>
      <c r="B227" s="6">
        <v>2.4500000000000002</v>
      </c>
      <c r="C227" s="6">
        <v>2.4500000000000002</v>
      </c>
      <c r="D227" s="6">
        <v>2.4500000000000002</v>
      </c>
      <c r="E227" s="6">
        <v>2.5019999999999998</v>
      </c>
      <c r="F227" s="6">
        <v>2.5019999999999998</v>
      </c>
      <c r="G227" s="6">
        <v>2.5019999999999998</v>
      </c>
      <c r="H227" s="6">
        <v>2.54</v>
      </c>
      <c r="I227" s="6">
        <v>2.54</v>
      </c>
      <c r="J227" s="6">
        <v>2.54</v>
      </c>
      <c r="K227" s="6">
        <v>2.3782800000000002</v>
      </c>
      <c r="L227" s="6">
        <v>2.3782800000000002</v>
      </c>
      <c r="M227" s="6">
        <v>2.3782800000000002</v>
      </c>
      <c r="N227" s="7"/>
      <c r="O227" s="7"/>
      <c r="P227" s="7"/>
      <c r="Q227" s="7"/>
      <c r="R227" s="7"/>
      <c r="S227" s="7"/>
    </row>
    <row r="228" spans="1:19" x14ac:dyDescent="0.35">
      <c r="A228" s="4">
        <v>96</v>
      </c>
      <c r="B228" s="6">
        <v>2.2799999999999998</v>
      </c>
      <c r="C228" s="6">
        <v>2.2799999999999998</v>
      </c>
      <c r="D228" s="6">
        <v>2.2799999999999998</v>
      </c>
      <c r="E228" s="6">
        <v>2.3391000000000002</v>
      </c>
      <c r="F228" s="6">
        <v>2.3391000000000002</v>
      </c>
      <c r="G228" s="6">
        <v>2.3391000000000002</v>
      </c>
      <c r="H228" s="6">
        <v>2.37</v>
      </c>
      <c r="I228" s="6">
        <v>2.37</v>
      </c>
      <c r="J228" s="6">
        <v>2.37</v>
      </c>
      <c r="K228" s="6">
        <v>2.11646</v>
      </c>
      <c r="L228" s="6">
        <v>2.11646</v>
      </c>
      <c r="M228" s="6">
        <v>2.11646</v>
      </c>
      <c r="N228" s="7"/>
      <c r="O228" s="7"/>
      <c r="P228" s="7"/>
      <c r="Q228" s="7"/>
      <c r="R228" s="7"/>
      <c r="S228" s="7"/>
    </row>
    <row r="229" spans="1:19" x14ac:dyDescent="0.35">
      <c r="A229" s="4">
        <v>97</v>
      </c>
      <c r="B229" s="6">
        <v>2.13</v>
      </c>
      <c r="C229" s="6">
        <v>2.13</v>
      </c>
      <c r="D229" s="6">
        <v>2.13</v>
      </c>
      <c r="E229" s="6">
        <v>2.1827999999999999</v>
      </c>
      <c r="F229" s="6">
        <v>2.1827999999999999</v>
      </c>
      <c r="G229" s="6">
        <v>2.1827999999999999</v>
      </c>
      <c r="H229" s="6">
        <v>2.2200000000000002</v>
      </c>
      <c r="I229" s="6">
        <v>2.2200000000000002</v>
      </c>
      <c r="J229" s="6">
        <v>2.2200000000000002</v>
      </c>
      <c r="K229" s="6">
        <v>1.8746799999999999</v>
      </c>
      <c r="L229" s="6">
        <v>1.8746799999999999</v>
      </c>
      <c r="M229" s="6">
        <v>1.8746799999999999</v>
      </c>
      <c r="N229" s="7"/>
      <c r="O229" s="7"/>
      <c r="P229" s="7"/>
      <c r="Q229" s="7"/>
      <c r="R229" s="7"/>
      <c r="S229" s="7"/>
    </row>
    <row r="230" spans="1:19" x14ac:dyDescent="0.35">
      <c r="A230" s="4">
        <v>98</v>
      </c>
      <c r="B230" s="6">
        <v>1.97</v>
      </c>
      <c r="C230" s="6">
        <v>1.97</v>
      </c>
      <c r="D230" s="6">
        <v>1.97</v>
      </c>
      <c r="E230" s="6">
        <v>2.0320999999999998</v>
      </c>
      <c r="F230" s="6">
        <v>2.0320999999999998</v>
      </c>
      <c r="G230" s="6">
        <v>2.0320999999999998</v>
      </c>
      <c r="H230" s="6">
        <v>2.0699999999999998</v>
      </c>
      <c r="I230" s="6">
        <v>2.0699999999999998</v>
      </c>
      <c r="J230" s="6">
        <v>2.0699999999999998</v>
      </c>
      <c r="K230" s="6">
        <v>1.6519900000000001</v>
      </c>
      <c r="L230" s="6">
        <v>1.6519900000000001</v>
      </c>
      <c r="M230" s="6">
        <v>1.6519900000000001</v>
      </c>
      <c r="N230" s="7"/>
      <c r="O230" s="7"/>
      <c r="P230" s="7"/>
      <c r="Q230" s="7"/>
      <c r="R230" s="7"/>
      <c r="S230" s="7"/>
    </row>
    <row r="231" spans="1:19" x14ac:dyDescent="0.35">
      <c r="A231" s="4">
        <v>99</v>
      </c>
      <c r="B231" s="6">
        <v>1.82</v>
      </c>
      <c r="C231" s="6">
        <v>1.82</v>
      </c>
      <c r="D231" s="6">
        <v>1.82</v>
      </c>
      <c r="E231" s="6">
        <v>1.8851</v>
      </c>
      <c r="F231" s="6">
        <v>1.8851</v>
      </c>
      <c r="G231" s="6">
        <v>1.8851</v>
      </c>
      <c r="H231" s="6">
        <v>1.93</v>
      </c>
      <c r="I231" s="6">
        <v>1.93</v>
      </c>
      <c r="J231" s="6">
        <v>1.93</v>
      </c>
      <c r="K231" s="6">
        <v>1.4471799999999999</v>
      </c>
      <c r="L231" s="6">
        <v>1.4471799999999999</v>
      </c>
      <c r="M231" s="6">
        <v>1.4471799999999999</v>
      </c>
      <c r="N231" s="7"/>
      <c r="O231" s="7"/>
      <c r="P231" s="7"/>
      <c r="Q231" s="7"/>
      <c r="R231" s="7"/>
      <c r="S231" s="7"/>
    </row>
    <row r="232" spans="1:19" x14ac:dyDescent="0.35">
      <c r="A232" s="4">
        <v>100</v>
      </c>
      <c r="B232" s="6">
        <v>1.66</v>
      </c>
      <c r="C232" s="6">
        <v>1.66</v>
      </c>
      <c r="D232" s="6">
        <v>1.66</v>
      </c>
      <c r="E232" s="6">
        <v>1.7387999999999999</v>
      </c>
      <c r="F232" s="6">
        <v>1.7387999999999999</v>
      </c>
      <c r="G232" s="6">
        <v>1.7387999999999999</v>
      </c>
      <c r="H232" s="6">
        <v>1.8</v>
      </c>
      <c r="I232" s="6">
        <v>1.8</v>
      </c>
      <c r="J232" s="6">
        <v>1.8</v>
      </c>
      <c r="K232" s="6">
        <v>1.2586299999999999</v>
      </c>
      <c r="L232" s="6">
        <v>1.2586299999999999</v>
      </c>
      <c r="M232" s="6">
        <v>1.2586299999999999</v>
      </c>
      <c r="N232" s="7"/>
      <c r="O232" s="7"/>
      <c r="P232" s="7"/>
      <c r="Q232" s="7"/>
      <c r="R232" s="7"/>
      <c r="S232" s="7"/>
    </row>
  </sheetData>
  <sheetProtection sheet="1" objects="1" scenarios="1"/>
  <mergeCells count="2">
    <mergeCell ref="A1:S1"/>
    <mergeCell ref="A2:S2"/>
  </mergeCells>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ul3"/>
  <dimension ref="A1:B25"/>
  <sheetViews>
    <sheetView workbookViewId="0">
      <selection sqref="A1:S1"/>
    </sheetView>
  </sheetViews>
  <sheetFormatPr defaultRowHeight="14.5" x14ac:dyDescent="0.35"/>
  <cols>
    <col min="1" max="1" width="11.453125" customWidth="1"/>
    <col min="2" max="2" width="10" bestFit="1" customWidth="1"/>
  </cols>
  <sheetData>
    <row r="1" spans="1:2" x14ac:dyDescent="0.35">
      <c r="A1" t="s">
        <v>16</v>
      </c>
    </row>
    <row r="2" spans="1:2" x14ac:dyDescent="0.35">
      <c r="A2" t="s">
        <v>12</v>
      </c>
    </row>
    <row r="3" spans="1:2" x14ac:dyDescent="0.35">
      <c r="A3" t="s">
        <v>13</v>
      </c>
    </row>
    <row r="5" spans="1:2" x14ac:dyDescent="0.35">
      <c r="A5" t="s">
        <v>2</v>
      </c>
      <c r="B5" t="s">
        <v>15</v>
      </c>
    </row>
    <row r="6" spans="1:2" x14ac:dyDescent="0.35">
      <c r="A6">
        <v>1</v>
      </c>
      <c r="B6" s="6">
        <v>1.1499999999999999</v>
      </c>
    </row>
    <row r="7" spans="1:2" x14ac:dyDescent="0.35">
      <c r="A7">
        <v>2</v>
      </c>
      <c r="B7" s="6">
        <v>2.27</v>
      </c>
    </row>
    <row r="8" spans="1:2" x14ac:dyDescent="0.35">
      <c r="A8">
        <v>3</v>
      </c>
      <c r="B8" s="6">
        <v>3.36</v>
      </c>
    </row>
    <row r="9" spans="1:2" x14ac:dyDescent="0.35">
      <c r="A9">
        <v>4</v>
      </c>
      <c r="B9" s="6">
        <v>4.42</v>
      </c>
    </row>
    <row r="10" spans="1:2" x14ac:dyDescent="0.35">
      <c r="A10">
        <v>5</v>
      </c>
      <c r="B10" s="6">
        <v>5.45</v>
      </c>
    </row>
    <row r="11" spans="1:2" x14ac:dyDescent="0.35">
      <c r="A11">
        <v>6</v>
      </c>
      <c r="B11" s="6">
        <v>6.45</v>
      </c>
    </row>
    <row r="12" spans="1:2" x14ac:dyDescent="0.35">
      <c r="A12">
        <v>7</v>
      </c>
      <c r="B12" s="6">
        <v>7.42</v>
      </c>
    </row>
    <row r="13" spans="1:2" x14ac:dyDescent="0.35">
      <c r="A13">
        <v>8</v>
      </c>
      <c r="B13" s="6">
        <v>8.36</v>
      </c>
    </row>
    <row r="14" spans="1:2" x14ac:dyDescent="0.35">
      <c r="A14">
        <v>9</v>
      </c>
      <c r="B14" s="6">
        <v>9.27</v>
      </c>
    </row>
    <row r="15" spans="1:2" x14ac:dyDescent="0.35">
      <c r="A15">
        <v>10</v>
      </c>
      <c r="B15" s="6">
        <v>10.15</v>
      </c>
    </row>
    <row r="16" spans="1:2" x14ac:dyDescent="0.35">
      <c r="A16">
        <v>11</v>
      </c>
      <c r="B16" s="6">
        <v>13</v>
      </c>
    </row>
    <row r="17" spans="1:2" x14ac:dyDescent="0.35">
      <c r="A17">
        <v>12</v>
      </c>
      <c r="B17" s="6">
        <v>16</v>
      </c>
    </row>
    <row r="18" spans="1:2" x14ac:dyDescent="0.35">
      <c r="A18">
        <v>13</v>
      </c>
      <c r="B18" s="6">
        <v>19</v>
      </c>
    </row>
    <row r="19" spans="1:2" x14ac:dyDescent="0.35">
      <c r="A19">
        <v>14</v>
      </c>
      <c r="B19" s="6">
        <v>22</v>
      </c>
    </row>
    <row r="20" spans="1:2" x14ac:dyDescent="0.35">
      <c r="A20">
        <v>15</v>
      </c>
      <c r="B20" s="6">
        <v>25</v>
      </c>
    </row>
    <row r="21" spans="1:2" x14ac:dyDescent="0.35">
      <c r="A21">
        <v>16</v>
      </c>
      <c r="B21" s="6">
        <v>32</v>
      </c>
    </row>
    <row r="22" spans="1:2" x14ac:dyDescent="0.35">
      <c r="A22">
        <v>17</v>
      </c>
      <c r="B22" s="6">
        <v>39</v>
      </c>
    </row>
    <row r="23" spans="1:2" x14ac:dyDescent="0.35">
      <c r="A23">
        <v>18</v>
      </c>
      <c r="B23" s="6">
        <v>46</v>
      </c>
    </row>
    <row r="24" spans="1:2" x14ac:dyDescent="0.35">
      <c r="A24">
        <v>19</v>
      </c>
      <c r="B24" s="6">
        <v>53</v>
      </c>
    </row>
    <row r="25" spans="1:2" x14ac:dyDescent="0.35">
      <c r="A25">
        <v>20</v>
      </c>
      <c r="B25" s="6">
        <v>60</v>
      </c>
    </row>
  </sheetData>
  <sheetProtection sheet="1" objects="1" scenarios="1"/>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05A14-5FFA-4A4C-AF96-66AB66A24A89}">
  <sheetPr codeName="Taul4"/>
  <dimension ref="A1:B39"/>
  <sheetViews>
    <sheetView workbookViewId="0">
      <selection sqref="A1:S1"/>
    </sheetView>
  </sheetViews>
  <sheetFormatPr defaultRowHeight="14.5" x14ac:dyDescent="0.35"/>
  <sheetData>
    <row r="1" spans="1:2" ht="23.5" x14ac:dyDescent="0.55000000000000004">
      <c r="A1" s="14" t="s">
        <v>18</v>
      </c>
    </row>
    <row r="2" spans="1:2" ht="15.5" x14ac:dyDescent="0.35">
      <c r="A2" s="11" t="s">
        <v>31</v>
      </c>
    </row>
    <row r="3" spans="1:2" x14ac:dyDescent="0.35">
      <c r="A3">
        <v>2004</v>
      </c>
      <c r="B3">
        <v>2028</v>
      </c>
    </row>
    <row r="4" spans="1:2" x14ac:dyDescent="0.35">
      <c r="A4">
        <v>2005</v>
      </c>
      <c r="B4">
        <v>2047</v>
      </c>
    </row>
    <row r="5" spans="1:2" x14ac:dyDescent="0.35">
      <c r="A5">
        <v>2006</v>
      </c>
      <c r="B5">
        <v>2081</v>
      </c>
    </row>
    <row r="6" spans="1:2" x14ac:dyDescent="0.35">
      <c r="A6">
        <v>2007</v>
      </c>
      <c r="B6">
        <v>2127</v>
      </c>
    </row>
    <row r="7" spans="1:2" x14ac:dyDescent="0.35">
      <c r="A7">
        <v>2008</v>
      </c>
      <c r="B7">
        <v>2178</v>
      </c>
    </row>
    <row r="8" spans="1:2" x14ac:dyDescent="0.35">
      <c r="A8">
        <v>2009</v>
      </c>
      <c r="B8">
        <v>2286</v>
      </c>
    </row>
    <row r="9" spans="1:2" x14ac:dyDescent="0.35">
      <c r="A9">
        <v>2010</v>
      </c>
      <c r="B9">
        <v>2292</v>
      </c>
    </row>
    <row r="10" spans="1:2" x14ac:dyDescent="0.35">
      <c r="A10">
        <v>2011</v>
      </c>
      <c r="B10">
        <v>2323</v>
      </c>
    </row>
    <row r="11" spans="1:2" x14ac:dyDescent="0.35">
      <c r="A11">
        <v>2012</v>
      </c>
      <c r="B11">
        <v>2407</v>
      </c>
    </row>
    <row r="12" spans="1:2" x14ac:dyDescent="0.35">
      <c r="A12">
        <v>2013</v>
      </c>
      <c r="B12">
        <v>2475</v>
      </c>
    </row>
    <row r="13" spans="1:2" x14ac:dyDescent="0.35">
      <c r="A13">
        <v>2014</v>
      </c>
      <c r="B13">
        <v>2509</v>
      </c>
    </row>
    <row r="14" spans="1:2" x14ac:dyDescent="0.35">
      <c r="A14">
        <v>2015</v>
      </c>
      <c r="B14">
        <v>2519</v>
      </c>
    </row>
    <row r="15" spans="1:2" x14ac:dyDescent="0.35">
      <c r="A15">
        <v>2016</v>
      </c>
      <c r="B15">
        <v>2519</v>
      </c>
    </row>
    <row r="16" spans="1:2" x14ac:dyDescent="0.35">
      <c r="A16">
        <v>2017</v>
      </c>
      <c r="B16">
        <v>2534</v>
      </c>
    </row>
    <row r="17" spans="1:2" x14ac:dyDescent="0.35">
      <c r="A17">
        <v>2018</v>
      </c>
      <c r="B17">
        <v>2548</v>
      </c>
    </row>
    <row r="18" spans="1:2" x14ac:dyDescent="0.35">
      <c r="A18">
        <v>2019</v>
      </c>
      <c r="B18">
        <v>2585</v>
      </c>
    </row>
    <row r="19" spans="1:2" x14ac:dyDescent="0.35">
      <c r="A19">
        <v>2020</v>
      </c>
      <c r="B19">
        <v>2617</v>
      </c>
    </row>
    <row r="20" spans="1:2" x14ac:dyDescent="0.35">
      <c r="A20">
        <v>2021</v>
      </c>
      <c r="B20">
        <v>2631</v>
      </c>
    </row>
    <row r="21" spans="1:2" x14ac:dyDescent="0.35">
      <c r="A21">
        <v>2022</v>
      </c>
      <c r="B21">
        <v>2691</v>
      </c>
    </row>
    <row r="22" spans="1:2" x14ac:dyDescent="0.35">
      <c r="A22">
        <v>2023</v>
      </c>
      <c r="B22" s="17">
        <v>2874</v>
      </c>
    </row>
    <row r="23" spans="1:2" x14ac:dyDescent="0.35">
      <c r="A23">
        <v>2024</v>
      </c>
      <c r="B23" s="17">
        <v>3037</v>
      </c>
    </row>
    <row r="24" spans="1:2" x14ac:dyDescent="0.35">
      <c r="A24">
        <v>2025</v>
      </c>
      <c r="B24">
        <v>3077</v>
      </c>
    </row>
    <row r="25" spans="1:2" x14ac:dyDescent="0.35">
      <c r="A25">
        <v>2026</v>
      </c>
      <c r="B25">
        <v>3104</v>
      </c>
    </row>
    <row r="26" spans="1:2" x14ac:dyDescent="0.35">
      <c r="A26">
        <v>2027</v>
      </c>
    </row>
    <row r="27" spans="1:2" x14ac:dyDescent="0.35">
      <c r="A27">
        <v>2028</v>
      </c>
    </row>
    <row r="28" spans="1:2" x14ac:dyDescent="0.35">
      <c r="A28">
        <v>2029</v>
      </c>
    </row>
    <row r="29" spans="1:2" x14ac:dyDescent="0.35">
      <c r="A29">
        <v>2030</v>
      </c>
    </row>
    <row r="30" spans="1:2" x14ac:dyDescent="0.35">
      <c r="A30">
        <v>2031</v>
      </c>
    </row>
    <row r="31" spans="1:2" x14ac:dyDescent="0.35">
      <c r="A31">
        <v>2032</v>
      </c>
    </row>
    <row r="32" spans="1:2" x14ac:dyDescent="0.35">
      <c r="A32">
        <v>2033</v>
      </c>
    </row>
    <row r="33" spans="1:1" x14ac:dyDescent="0.35">
      <c r="A33">
        <v>2034</v>
      </c>
    </row>
    <row r="34" spans="1:1" x14ac:dyDescent="0.35">
      <c r="A34">
        <v>2035</v>
      </c>
    </row>
    <row r="35" spans="1:1" x14ac:dyDescent="0.35">
      <c r="A35">
        <v>2036</v>
      </c>
    </row>
    <row r="36" spans="1:1" x14ac:dyDescent="0.35">
      <c r="A36">
        <v>2037</v>
      </c>
    </row>
    <row r="37" spans="1:1" x14ac:dyDescent="0.35">
      <c r="A37">
        <v>2038</v>
      </c>
    </row>
    <row r="38" spans="1:1" x14ac:dyDescent="0.35">
      <c r="A38">
        <v>2039</v>
      </c>
    </row>
    <row r="39" spans="1:1" x14ac:dyDescent="0.35">
      <c r="A39">
        <v>2040</v>
      </c>
    </row>
  </sheetData>
  <sheetProtection sheet="1" objects="1" scenarios="1"/>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86771-6CB1-4529-8922-6F4394D9E87D}">
  <sheetPr codeName="Taul5"/>
  <dimension ref="A1:N37"/>
  <sheetViews>
    <sheetView workbookViewId="0">
      <selection sqref="A1:S1"/>
    </sheetView>
  </sheetViews>
  <sheetFormatPr defaultRowHeight="14.5" x14ac:dyDescent="0.35"/>
  <cols>
    <col min="1" max="1" width="71.7265625" customWidth="1"/>
    <col min="2" max="2" width="11.54296875" bestFit="1" customWidth="1"/>
    <col min="3" max="3" width="13.54296875" bestFit="1" customWidth="1"/>
    <col min="4" max="4" width="13.453125" bestFit="1" customWidth="1"/>
    <col min="5" max="5" width="14.7265625" customWidth="1"/>
    <col min="6" max="6" width="10.81640625" customWidth="1"/>
    <col min="7" max="7" width="15.1796875" customWidth="1"/>
    <col min="8" max="13" width="11.7265625" customWidth="1"/>
  </cols>
  <sheetData>
    <row r="1" spans="1:3" ht="23.5" x14ac:dyDescent="0.55000000000000004">
      <c r="A1" s="14" t="s">
        <v>27</v>
      </c>
    </row>
    <row r="2" spans="1:3" x14ac:dyDescent="0.35">
      <c r="A2" t="s">
        <v>33</v>
      </c>
    </row>
    <row r="3" spans="1:3" x14ac:dyDescent="0.35">
      <c r="A3" t="s">
        <v>32</v>
      </c>
    </row>
    <row r="4" spans="1:3" x14ac:dyDescent="0.35">
      <c r="A4" t="str">
        <f ca="1">CONCATENATE("Haittarahan kertakorvauksen määrä (sis. indeksikorotuksen 31.12.",B25," asti *)")</f>
        <v>Haittarahan kertakorvauksen määrä (sis. indeksikorotuksen 31.12.2026 asti *)</v>
      </c>
    </row>
    <row r="5" spans="1:3" x14ac:dyDescent="0.35">
      <c r="A5" t="str">
        <f ca="1">CONCATENATE("Jatkuvan korvauksen vuotuismäärä (sis. indeksikorotuksen 31.12.",B25," asti *)")</f>
        <v>Jatkuvan korvauksen vuotuismäärä (sis. indeksikorotuksen 31.12.2026 asti *)</v>
      </c>
    </row>
    <row r="6" spans="1:3" x14ac:dyDescent="0.35">
      <c r="A6" t="s">
        <v>64</v>
      </c>
    </row>
    <row r="7" spans="1:3" x14ac:dyDescent="0.35">
      <c r="A7" t="s">
        <v>42</v>
      </c>
    </row>
    <row r="8" spans="1:3" x14ac:dyDescent="0.35">
      <c r="A8" t="s">
        <v>1</v>
      </c>
    </row>
    <row r="9" spans="1:3" x14ac:dyDescent="0.35">
      <c r="A9" t="s">
        <v>2</v>
      </c>
    </row>
    <row r="10" spans="1:3" x14ac:dyDescent="0.35">
      <c r="A10" t="s">
        <v>17</v>
      </c>
    </row>
    <row r="11" spans="1:3" x14ac:dyDescent="0.35">
      <c r="A11" t="s">
        <v>3</v>
      </c>
    </row>
    <row r="12" spans="1:3" x14ac:dyDescent="0.35">
      <c r="A12" t="s">
        <v>50</v>
      </c>
    </row>
    <row r="13" spans="1:3" x14ac:dyDescent="0.35">
      <c r="A13" t="s">
        <v>6</v>
      </c>
    </row>
    <row r="14" spans="1:3" x14ac:dyDescent="0.35">
      <c r="A14" t="s">
        <v>43</v>
      </c>
      <c r="B14" t="s">
        <v>20</v>
      </c>
      <c r="C14" t="s">
        <v>19</v>
      </c>
    </row>
    <row r="15" spans="1:3" x14ac:dyDescent="0.35">
      <c r="A15" t="s">
        <v>28</v>
      </c>
      <c r="B15" s="30" t="b">
        <f>AND(ISNUMBER(Haittarahalaskuri!B9),ISNUMBER(Haittarahalaskuri!B8),ISNUMBER(Haittarahalaskuri!B13),OR(AND(YEAR(Haittarahalaskuri!B8)&lt;2016,Haittarahalaskuri!B13&lt;=10),AND(YEAR(Haittarahalaskuri!B8)&gt;=2016,Haittarahalaskuri!B13&lt;6)))</f>
        <v>0</v>
      </c>
      <c r="C15" s="30" t="b">
        <f>AND(ISNUMBER(Haittarahalaskuri!B9),ISNUMBER(Haittarahalaskuri!B8),ISNUMBER(Haittarahalaskuri!B13),ISNUMBER(Haittarahalaskuri!B14),ISNUMBER(Haittarahalaskuri!B15),OR(AND(YEAR(Haittarahalaskuri!B8)&lt;2016,Haittarahalaskuri!B14&lt;=10),AND(YEAR(Haittarahalaskuri!B8)&gt;=2016,Haittarahalaskuri!B14&lt;6)))</f>
        <v>0</v>
      </c>
    </row>
    <row r="16" spans="1:3" x14ac:dyDescent="0.35">
      <c r="A16" t="s">
        <v>29</v>
      </c>
      <c r="B16" s="30" t="b">
        <f>AND(ISNUMBER(Haittarahalaskuri!B9),ISNUMBER(Haittarahalaskuri!B8),ISNUMBER(Haittarahalaskuri!B13),OR(AND(YEAR(Haittarahalaskuri!B8)&lt;2016,Haittarahalaskuri!B13&gt;10),AND(YEAR(Haittarahalaskuri!B8)&gt;=2016,Haittarahalaskuri!B13&gt;=6)))</f>
        <v>0</v>
      </c>
      <c r="C16" s="30" t="b">
        <f>AND(ISNUMBER(Haittarahalaskuri!B9),ISNUMBER(Haittarahalaskuri!B8),ISNUMBER(Haittarahalaskuri!B13),ISNUMBER(Haittarahalaskuri!B14),ISNUMBER(Haittarahalaskuri!B15),OR(AND(YEAR(Haittarahalaskuri!B8)&lt;2016,Haittarahalaskuri!B14&gt;10),AND(YEAR(Haittarahalaskuri!B8)&gt;=2016,Haittarahalaskuri!B14&gt;=6)))</f>
        <v>0</v>
      </c>
    </row>
    <row r="17" spans="1:13" x14ac:dyDescent="0.35">
      <c r="A17" t="s">
        <v>73</v>
      </c>
      <c r="B17" s="30"/>
      <c r="C17" s="30"/>
    </row>
    <row r="18" spans="1:13" x14ac:dyDescent="0.35">
      <c r="A18" t="s">
        <v>74</v>
      </c>
      <c r="B18" s="30"/>
      <c r="C18" s="30"/>
    </row>
    <row r="19" spans="1:13" x14ac:dyDescent="0.35">
      <c r="A19" t="s">
        <v>75</v>
      </c>
      <c r="B19" s="30"/>
      <c r="C19" s="30"/>
    </row>
    <row r="20" spans="1:13" ht="15.5" x14ac:dyDescent="0.35">
      <c r="A20" t="s">
        <v>52</v>
      </c>
      <c r="B20" s="31" t="str">
        <f>IF(AND(YEAR(Haittarahalaskuri!B8)&gt;=2003,Haittarahalaskuri!B8&lt;=Haittarahalaskuri!B9,Haittarahalaskuri!B8&gt;=Haittarahalaskuri!B10),YEAR(Haittarahalaskuri!B8),"-")</f>
        <v>-</v>
      </c>
    </row>
    <row r="21" spans="1:13" ht="15.5" x14ac:dyDescent="0.35">
      <c r="A21" t="s">
        <v>41</v>
      </c>
      <c r="B21" s="31" t="str">
        <f>IF(AND(YEAR(Haittarahalaskuri!B9)&gt;=B20,Haittarahalaskuri!B9&gt;=Haittarahalaskuri!B10),YEAR(Haittarahalaskuri!B9),"-")</f>
        <v>-</v>
      </c>
    </row>
    <row r="22" spans="1:13" ht="15.5" x14ac:dyDescent="0.35">
      <c r="A22" t="s">
        <v>53</v>
      </c>
      <c r="B22" s="32" t="str">
        <f>IF(AND(Haittarahalaskuri!B12="K",YEAR(Haittarahalaskuri!B15)&gt;2003,YEAR(Haittarahalaskuri!B15)&gt;=B20,YEAR(Haittarahalaskuri!B15)&lt;=B21),YEAR(Haittarahalaskuri!B15),"-")</f>
        <v>-</v>
      </c>
    </row>
    <row r="23" spans="1:13" ht="15.5" x14ac:dyDescent="0.35">
      <c r="A23" t="s">
        <v>0</v>
      </c>
      <c r="B23" s="33" t="str">
        <f>IF(AND(ISNUMBER(Haittarahalaskuri!B19),ISNUMBER(B20),B20&lt;2019),MIN(Haittarahalaskuri!B19,100),IF(AND(ISNUMBER(Haittarahalaskuri!B19),ISNUMBER(B20),B20&gt;=2019),MIN(Haittarahalaskuri!B19,120),"-"))</f>
        <v>-</v>
      </c>
    </row>
    <row r="24" spans="1:13" ht="15.5" x14ac:dyDescent="0.35">
      <c r="A24" t="s">
        <v>51</v>
      </c>
      <c r="B24" s="32" t="str">
        <f>IF(AND(ISNUMBER(Haittarahalaskuri!B20),ISNUMBER(B20),B20&lt;2019,UPPER(Haittarahalaskuri!B12="K")),MIN(Haittarahalaskuri!B20,100),IF(AND(ISNUMBER(Haittarahalaskuri!B20),ISNUMBER(B20),B20&gt;=2019,UPPER(Haittarahalaskuri!B12="K")),MIN(Haittarahalaskuri!B20,120),"-"))</f>
        <v>-</v>
      </c>
    </row>
    <row r="25" spans="1:13" ht="15.5" x14ac:dyDescent="0.35">
      <c r="A25" t="s">
        <v>58</v>
      </c>
      <c r="B25" s="31" cm="1">
        <f t="array" aca="1" ref="B25" ca="1">OFFSET(INDIRECT(C25),0,-1)</f>
        <v>2026</v>
      </c>
      <c r="C25" s="30" t="str">
        <f>CONCATENATE("Indeksit!",ADDRESS(D25,2))</f>
        <v>Indeksit!$B$25</v>
      </c>
      <c r="D25" s="30">
        <f>MATCH(MAX(Indeksit!B:B),Indeksit!B:B)</f>
        <v>25</v>
      </c>
    </row>
    <row r="26" spans="1:13" ht="23.5" x14ac:dyDescent="0.35">
      <c r="A26" s="13" t="s">
        <v>25</v>
      </c>
    </row>
    <row r="27" spans="1:13" ht="43.5" x14ac:dyDescent="0.35">
      <c r="B27" s="10" t="s">
        <v>34</v>
      </c>
      <c r="C27" s="3" t="s">
        <v>26</v>
      </c>
      <c r="D27" s="8" t="s">
        <v>36</v>
      </c>
      <c r="E27" s="8" t="s">
        <v>37</v>
      </c>
      <c r="F27" t="s">
        <v>35</v>
      </c>
      <c r="G27" s="8" t="s">
        <v>38</v>
      </c>
      <c r="H27" s="8" t="s">
        <v>67</v>
      </c>
      <c r="I27" s="8" t="s">
        <v>68</v>
      </c>
      <c r="J27" s="8" t="s">
        <v>72</v>
      </c>
      <c r="K27" s="8" t="s">
        <v>71</v>
      </c>
      <c r="L27" s="8" t="s">
        <v>69</v>
      </c>
      <c r="M27" s="8" t="s">
        <v>70</v>
      </c>
    </row>
    <row r="28" spans="1:13" ht="15.5" x14ac:dyDescent="0.35">
      <c r="A28" s="10" t="s">
        <v>23</v>
      </c>
      <c r="B28" s="33" t="str">
        <f>IF(AND(Haittarahalaskuri!B21=A15,ISNUMBER(B20),UPPER(Haittarahalaskuri!B12)="E",OR(Haittarahalaskuri!B11="M",Haittarahalaskuri!B11="N",B20&gt;=2016)),ROUND(HLOOKUP(B20,Pääomakertoimet!A4:AD128,VLOOKUP(B23,Pääomakertoimet!A8:AD128,1,FALSE)+5)*HLOOKUP(B20,Pääomakertoimet!B4:AD5,2,FALSE)*VLOOKUP(Haittarahalaskuri!B13,HL_määrät!A6:B25,2,FALSE)/100,2),"-")</f>
        <v>-</v>
      </c>
      <c r="C28" s="34" t="str">
        <f>IF(ISNUMBER(B28),ROUND(VLOOKUP(MIN(B21,B25),Indeksit!A:B,2,FALSE)/VLOOKUP(B20,Indeksit!A:B,2,FALSE)*B28-B28,2),"-")</f>
        <v>-</v>
      </c>
      <c r="D28" s="34" t="str">
        <f>IF(OR(UPPER(Haittarahalaskuri!B11)="N",B20&gt;=2016),B28,IF(AND(ISNUMBER(B28),UPPER(Haittarahalaskuri!B11)="M",B20&lt;2016),ROUND(HLOOKUP(B20,Pääomakertoimet!A130:AD232,VLOOKUP(B23,Pääomakertoimet!A132:M232,1,FALSE)+3)*HLOOKUP(B20,Pääomakertoimet!B4:AD5,2,FALSE)*VLOOKUP(Haittarahalaskuri!B13,HL_määrät!A6:B25,2,FALSE)/100,2),"-"))</f>
        <v>-</v>
      </c>
      <c r="E28" s="34" t="str">
        <f>IF(ISNUMBER(D28),ROUND(VLOOKUP(MIN(B21,B25),Indeksit!A:B,2,FALSE)/VLOOKUP(B20,Indeksit!A:B,2,FALSE)*D28-D28,2),"-")</f>
        <v>-</v>
      </c>
      <c r="F28" s="34" t="str">
        <f>IF(AND(ISNUMBER(B28-D28),B28&gt;D28,Haittarahalaskuri!B9&gt;DATE(2014,9,3)),B28-D28,"-")</f>
        <v>-</v>
      </c>
      <c r="G28" s="34" t="str">
        <f>IF(ISNUMBER(F28),ROUND(VLOOKUP(MIN(B21,B25),Indeksit!A:B,2,FALSE)/VLOOKUP(B20,Indeksit!A:B,2,FALSE)*F28-F28,2),"-")</f>
        <v>-</v>
      </c>
      <c r="H28" s="34" t="s">
        <v>39</v>
      </c>
      <c r="I28" s="34" t="s">
        <v>39</v>
      </c>
      <c r="J28" s="34" t="s">
        <v>39</v>
      </c>
      <c r="K28" s="34" t="s">
        <v>39</v>
      </c>
      <c r="L28" s="34" t="s">
        <v>39</v>
      </c>
      <c r="M28" s="34" t="s">
        <v>39</v>
      </c>
    </row>
    <row r="29" spans="1:13" ht="15.5" x14ac:dyDescent="0.35">
      <c r="A29" s="10" t="s">
        <v>24</v>
      </c>
      <c r="B29" s="33" t="str">
        <f>IF(AND(Haittarahalaskuri!B21=A16,ISNUMBER(B20),ISNUMBER(B21),UPPER(Haittarahalaskuri!B12)="E"),ROUND(HLOOKUP(B20,Pääomakertoimet!B4:AD5,2,FALSE)*VLOOKUP(Haittarahalaskuri!B13,HL_määrät!A6:B25,2,FALSE)/100,2),"-")</f>
        <v>-</v>
      </c>
      <c r="C29" s="34" t="str">
        <f>IF(ISNUMBER(B29),ROUND(VLOOKUP(MIN(B21,B25),Indeksit!A:B,2,FALSE)/VLOOKUP(B20,Indeksit!A:B,2,FALSE)*B29-B29,2),"-")</f>
        <v>-</v>
      </c>
      <c r="D29" s="34" t="str">
        <f>B29</f>
        <v>-</v>
      </c>
      <c r="E29" s="34" t="str">
        <f>IF(ISNUMBER(D29),ROUND(VLOOKUP(MIN(B21,B25),Indeksit!A:B,2,FALSE)/VLOOKUP(B20,Indeksit!A:B,2,FALSE)*D29-D29,2),"-")</f>
        <v>-</v>
      </c>
      <c r="F29" s="34" t="s">
        <v>39</v>
      </c>
      <c r="G29" s="34" t="s">
        <v>39</v>
      </c>
      <c r="H29" s="34" t="s">
        <v>39</v>
      </c>
      <c r="I29" s="34" t="s">
        <v>39</v>
      </c>
      <c r="J29" s="34" t="s">
        <v>39</v>
      </c>
      <c r="K29" s="34" t="s">
        <v>39</v>
      </c>
      <c r="L29" s="34" t="s">
        <v>39</v>
      </c>
      <c r="M29" s="34" t="s">
        <v>39</v>
      </c>
    </row>
    <row r="30" spans="1:13" ht="15.5" x14ac:dyDescent="0.35">
      <c r="A30" s="3" t="s">
        <v>54</v>
      </c>
      <c r="B30" s="33" t="str">
        <f>IF(AND(Haittarahalaskuri!B21=A15,ISNUMBER(B20),ISNUMBER(B21),UPPER(Haittarahalaskuri!B12)="K",OR(Haittarahalaskuri!B11="M",Haittarahalaskuri!B11="N",B20&gt;=2016),B22&gt;=B20,OR(AND(Haittarahalaskuri!B13&lt;=10,B20&lt;2016),AND(Haittarahalaskuri!B13&lt;=5,B20&gt;=2016))),ROUND(HLOOKUP(B20,Pääomakertoimet!A4:AD128,VLOOKUP(B24,Pääomakertoimet!A8:AD128,1,FALSE)+5)*HLOOKUP(B20,Pääomakertoimet!B4:AD5,2,FALSE)*VLOOKUP(Haittarahalaskuri!B14,HL_määrät!A6:B25,2,FALSE)/100,2)-IF(Haittarahalaskuri!B13=0,0,ROUND(HLOOKUP(B20,Pääomakertoimet!A4:AD128,VLOOKUP(B24,Pääomakertoimet!A8:AD128,1,FALSE)+5)*HLOOKUP(B20,Pääomakertoimet!B4:AD5,2,FALSE)*VLOOKUP(Haittarahalaskuri!B13,HL_määrät!A6:B25,2,FALSE)/100,2)),"-")</f>
        <v>-</v>
      </c>
      <c r="C30" s="34" t="str">
        <f>IF(ISNUMBER(B30),ROUND(VLOOKUP(MIN(B21,B25),Indeksit!A:B,2,FALSE)/VLOOKUP(B20,Indeksit!A:B,2,FALSE)*B30-B30,2),"-")</f>
        <v>-</v>
      </c>
      <c r="D30" s="34" t="str">
        <f>IF(AND(ISNUMBER(B30),B20&lt;2016,UPPER(Haittarahalaskuri!B11)="M",Haittarahalaskuri!B21=A15),ROUND(HLOOKUP(B20,Pääomakertoimet!A130:AD232,VLOOKUP(B24,Pääomakertoimet!A132:M232,1,FALSE)+3)*HLOOKUP(B20,Pääomakertoimet!B4:AD5,2,FALSE)*VLOOKUP(Haittarahalaskuri!B14,HL_määrät!A6:B25,2,FALSE)/100,2)-IF(Haittarahalaskuri!B13=0,0,ROUND(HLOOKUP(B20,Pääomakertoimet!A130:AD232,VLOOKUP(B24,Pääomakertoimet!A132:M232,1,FALSE)+3)*HLOOKUP(B20,Pääomakertoimet!B4:AD5,2,FALSE)*VLOOKUP(Haittarahalaskuri!B13,HL_määrät!A6:B25,2,FALSE)/100,2)),B30)</f>
        <v>-</v>
      </c>
      <c r="E30" s="34" t="str">
        <f>IF(ISNUMBER(D30),ROUND(VLOOKUP(MIN(B21,B25),Indeksit!A:B,2,FALSE)/VLOOKUP(B20,Indeksit!A:B,2,FALSE)*D30-D30,2),"-")</f>
        <v>-</v>
      </c>
      <c r="F30" s="34" t="str">
        <f>IF(AND(ISNUMBER(B30-D30),B30&gt;D30,Haittarahalaskuri!B9&gt;DATE(2014,9,3)),B30-D30,"-")</f>
        <v>-</v>
      </c>
      <c r="G30" s="34" t="str">
        <f>IF(ISNUMBER(F30),ROUND(VLOOKUP(MIN(B21,B25),Indeksit!A:B,2,FALSE)/VLOOKUP(B20,Indeksit!A:B,2,FALSE)*F30-F30,2),"-")</f>
        <v>-</v>
      </c>
      <c r="H30" s="34" t="str">
        <f>IF(AND(Haittarahalaskuri!B21=A15,ISNUMBER(B20),ISNUMBER(B21),UPPER(Haittarahalaskuri!B12)="K",OR(Haittarahalaskuri!B11="M",Haittarahalaskuri!B11="N",B20&gt;=2016),B22&gt;=B20,OR(AND(Haittarahalaskuri!B13&lt;=10,B20&lt;2016),AND(Haittarahalaskuri!B13&lt;=5,B20&gt;=2016))),ROUND(HLOOKUP(B20,Pääomakertoimet!A4:AD128,VLOOKUP(B24,Pääomakertoimet!A8:AD128,1,FALSE)+5)*HLOOKUP(B20,Pääomakertoimet!B4:AD5,2,FALSE)*VLOOKUP(Haittarahalaskuri!B14,HL_määrät!A6:B25,2,FALSE)/100,2),"-")</f>
        <v>-</v>
      </c>
      <c r="I30" s="34" t="str">
        <f>IF(AND(Haittarahalaskuri!B21=A15,ISNUMBER(B20),ISNUMBER(B21),UPPER(Haittarahalaskuri!B12)="K",OR(Haittarahalaskuri!B11="M",Haittarahalaskuri!B11="N",B20&gt;=2016),B22&gt;=B20,OR(AND(Haittarahalaskuri!B13&lt;=10,B20&lt;2016),AND(Haittarahalaskuri!B13&lt;=5,B20&gt;=2016))),IF(Haittarahalaskuri!B13=0,0,ROUND(HLOOKUP(B20,Pääomakertoimet!A4:AD128,VLOOKUP(B24,Pääomakertoimet!A8:AD128,1,FALSE)+5)*HLOOKUP(B20,Pääomakertoimet!B4:AD5,2,FALSE)*VLOOKUP(Haittarahalaskuri!B13,HL_määrät!A6:B25,2,FALSE)/100,2)),"-")</f>
        <v>-</v>
      </c>
      <c r="J30" s="34" t="str">
        <f>IF(AND(ISNUMBER(H30),B20&lt;2016,UPPER(Haittarahalaskuri!B11)="M",Haittarahalaskuri!B21=A15),ROUND(HLOOKUP(B20,Pääomakertoimet!A130:AD232,VLOOKUP(B24,Pääomakertoimet!A132:M232,1,FALSE)+3)*HLOOKUP(B20,Pääomakertoimet!B4:AD5,2,FALSE)*VLOOKUP(Haittarahalaskuri!B14,HL_määrät!A6:B25,2,FALSE)/100,2),H30)</f>
        <v>-</v>
      </c>
      <c r="K30" s="34" t="str">
        <f>IF(AND(ISNUMBER(I30),B20&lt;2016,UPPER(Haittarahalaskuri!B11)="M",Haittarahalaskuri!B21=A15),IF(Haittarahalaskuri!B13=0,0,ROUND(HLOOKUP(B20,Pääomakertoimet!A130:AD232,VLOOKUP(B24,Pääomakertoimet!A132:M232,1,FALSE)+3)*HLOOKUP(B20,Pääomakertoimet!B4:AD5,2,FALSE)*VLOOKUP(Haittarahalaskuri!B13,HL_määrät!A6:B25,2,FALSE)/100,2)),I30)</f>
        <v>-</v>
      </c>
      <c r="L30" s="34" t="str">
        <f>IF(AND(ISNUMBER(H30-J30),H30&gt;J30,Haittarahalaskuri!B9&gt;DATE(2014,9,3)),H30-J30,"-")</f>
        <v>-</v>
      </c>
      <c r="M30" s="34" t="str">
        <f>IF(AND(ISNUMBER(I30-K30),I30&gt;K30,Haittarahalaskuri!B9&gt;DATE(2014,9,3)),I30-K30,"-")</f>
        <v>-</v>
      </c>
    </row>
    <row r="31" spans="1:13" ht="15.5" x14ac:dyDescent="0.35">
      <c r="A31" s="3" t="s">
        <v>46</v>
      </c>
      <c r="B31" s="33" t="str">
        <f>IF(AND(Haittarahalaskuri!B21=A15,ISNUMBER(B20),ISNUMBER(B21),UPPER(Haittarahalaskuri!B12)="K",Haittarahalaskuri!B14&lt;Haittarahalaskuri!B13,Haittarahalaskuri!B13&gt;5,B20&gt;=2016,B22&gt;=B20),ROUND(HLOOKUP(B20,Pääomakertoimet!A4:AD128,VLOOKUP(B24,Pääomakertoimet!A8:AD128,1,FALSE)+5)*HLOOKUP(B20,Pääomakertoimet!B4:AD5,2,FALSE)*VLOOKUP(Haittarahalaskuri!B14,HL_määrät!A6:B25,2,FALSE)/100,2),"-")</f>
        <v>-</v>
      </c>
      <c r="C31" s="34" t="str">
        <f>IF(ISNUMBER(B31),ROUND(VLOOKUP(MIN(B21,B25),Indeksit!A:B,2,FALSE)/VLOOKUP(B20,Indeksit!A:B,2,FALSE)*B31-B31,2),"-")</f>
        <v>-</v>
      </c>
      <c r="D31" s="34" t="str">
        <f>IF(AND(ISNUMBER(B31),B20&lt;2016,UPPER(Haittarahalaskuri!B11)="M",Haittarahalaskuri!B21=A15),ROUND(HLOOKUP(B20,Pääomakertoimet!A130:AD232,VLOOKUP(B24,Pääomakertoimet!A132:M232,1,FALSE)+3)*HLOOKUP(B20,Pääomakertoimet!B4:AD5,2,FALSE)*VLOOKUP(Haittarahalaskuri!B14,HL_määrät!A6:B25,2,FALSE)/100,2),B31)</f>
        <v>-</v>
      </c>
      <c r="E31" s="34" t="str">
        <f>IF(ISNUMBER(D31),ROUND(VLOOKUP(MIN(B21,B25),Indeksit!A:B,2,FALSE)/VLOOKUP(B20,Indeksit!A:B,2,FALSE)*D31-D31,2),"-")</f>
        <v>-</v>
      </c>
      <c r="F31" s="34" t="str">
        <f t="shared" ref="F31" si="0">IF(AND(ISNUMBER(B31-D31),B31&gt;D31),B31-D31,"-")</f>
        <v>-</v>
      </c>
      <c r="G31" s="34" t="str">
        <f>IF(ISNUMBER(F31),ROUND(VLOOKUP(MIN(B21,B25),Indeksit!A:B,2,FALSE)/VLOOKUP(B20,Indeksit!A:B,2,FALSE)*F31-F31,2),"-")</f>
        <v>-</v>
      </c>
      <c r="H31" s="34" t="s">
        <v>39</v>
      </c>
      <c r="I31" s="34" t="s">
        <v>39</v>
      </c>
      <c r="J31" s="34" t="s">
        <v>39</v>
      </c>
      <c r="K31" s="34" t="s">
        <v>39</v>
      </c>
      <c r="L31" s="34" t="s">
        <v>39</v>
      </c>
      <c r="M31" s="34" t="s">
        <v>39</v>
      </c>
    </row>
    <row r="32" spans="1:13" ht="15.5" x14ac:dyDescent="0.35">
      <c r="A32" s="3" t="s">
        <v>56</v>
      </c>
      <c r="B32" s="33" t="str">
        <f>IF(AND(Haittarahalaskuri!B21=A16,ISNUMBER(B20),ISNUMBER(B21),UPPER(Haittarahalaskuri!B12)="K",OR(AND(Haittarahalaskuri!B13&lt;=10,B20&lt;2016),AND(Haittarahalaskuri!B13&lt;=5,B20&gt;=2016))),ROUND(HLOOKUP(B20,Pääomakertoimet!B4:AD5,2,FALSE)*VLOOKUP(Haittarahalaskuri!B14,HL_määrät!A6:B25,2,FALSE)/100,2)-IF(Haittarahalaskuri!B13=0,0,ROUND(HLOOKUP(B20,Pääomakertoimet!B4:AD5,2,FALSE)*VLOOKUP(Haittarahalaskuri!B13,HL_määrät!A6:B25,2,FALSE)/100,2)),"-")</f>
        <v>-</v>
      </c>
      <c r="C32" s="34" t="str">
        <f>IF(ISNUMBER(B32),ROUND(VLOOKUP(MIN(B21,B25),Indeksit!A:B,2,FALSE)/VLOOKUP(B20,Indeksit!A:B,2,FALSE)*B32-B32,2),"-")</f>
        <v>-</v>
      </c>
      <c r="D32" s="34" t="str">
        <f>B32</f>
        <v>-</v>
      </c>
      <c r="E32" s="34" t="str">
        <f>IF(ISNUMBER(D32),ROUND(VLOOKUP(MIN(B21,B25),Indeksit!A:B,2,FALSE)/VLOOKUP(B20,Indeksit!A:B,2,FALSE)*D32-D32,2),"-")</f>
        <v>-</v>
      </c>
      <c r="F32" s="34" t="s">
        <v>39</v>
      </c>
      <c r="G32" s="34" t="s">
        <v>39</v>
      </c>
      <c r="H32" s="34" t="str">
        <f>IF(AND(Haittarahalaskuri!B21=A16,ISNUMBER(B20),ISNUMBER(B21),UPPER(Haittarahalaskuri!B12)="K",OR(AND(Haittarahalaskuri!B13&lt;=10,B20&lt;2016),AND(Haittarahalaskuri!B13&lt;=5,B20&gt;=2016))),ROUND(HLOOKUP(B20,Pääomakertoimet!B4:AD5,2,FALSE)*VLOOKUP(Haittarahalaskuri!B14,HL_määrät!A6:B25,2,FALSE)/100,2),"-")</f>
        <v>-</v>
      </c>
      <c r="I32" s="34" t="str">
        <f>IF(AND(Haittarahalaskuri!B21=A16,ISNUMBER(B20),ISNUMBER(B21),UPPER(Haittarahalaskuri!B12)="K",OR(AND(Haittarahalaskuri!B13&lt;=10,B20&lt;2016),AND(Haittarahalaskuri!B13&lt;=5,B20&gt;=2016)),Haittarahalaskuri!B13&gt;0),ROUND(HLOOKUP(B20,Pääomakertoimet!B4:AD5,2,FALSE)*VLOOKUP(Haittarahalaskuri!B13,HL_määrät!A6:B25,2,FALSE)/100,2),"-")</f>
        <v>-</v>
      </c>
      <c r="J32" s="34" t="s">
        <v>39</v>
      </c>
      <c r="K32" s="34" t="s">
        <v>39</v>
      </c>
      <c r="L32" s="34" t="s">
        <v>39</v>
      </c>
      <c r="M32" s="34" t="s">
        <v>39</v>
      </c>
    </row>
    <row r="33" spans="1:14" ht="15.5" x14ac:dyDescent="0.35">
      <c r="A33" s="3" t="s">
        <v>45</v>
      </c>
      <c r="B33" s="33" t="str">
        <f>IF(AND(Haittarahalaskuri!B21=A16,ISNUMBER(B20),ISNUMBER(B21),UPPER(Haittarahalaskuri!B12)="K",OR(AND(Haittarahalaskuri!B13&gt;10,Haittarahalaskuri!B14&gt;Haittarahalaskuri!B13,YEAR(Haittarahalaskuri!B8)&lt;2016),AND(Haittarahalaskuri!B13&gt;5,YEAR(Haittarahalaskuri!B8)&gt;=2016))),ROUND(HLOOKUP(B20,Pääomakertoimet!B4:AD5,2,FALSE)*VLOOKUP(Haittarahalaskuri!B14,HL_määrät!A6:B25,2,FALSE)/100,2)-ROUND(HLOOKUP(B20,Pääomakertoimet!B4:AD5,2,FALSE)*VLOOKUP(Haittarahalaskuri!B13,HL_määrät!A6:B25,2,FALSE)/100,2),"-")</f>
        <v>-</v>
      </c>
      <c r="C33" s="34" t="str">
        <f>IF(ISNUMBER(B33),ROUND(VLOOKUP(MIN(B21,B25),Indeksit!A:B,2,FALSE)/VLOOKUP(B20,Indeksit!A:B,2,FALSE)*B33-B33,2),"-")</f>
        <v>-</v>
      </c>
      <c r="D33" s="34" t="str">
        <f>B33</f>
        <v>-</v>
      </c>
      <c r="E33" s="34" t="str">
        <f>IF(ISNUMBER(D33),ROUND(VLOOKUP(MIN(B21,B25),Indeksit!A:B,2,FALSE)/VLOOKUP(B20,Indeksit!A:B,2,FALSE)*D33-D33,2),"-")</f>
        <v>-</v>
      </c>
      <c r="F33" s="34" t="s">
        <v>39</v>
      </c>
      <c r="G33" s="34" t="s">
        <v>39</v>
      </c>
      <c r="H33" s="34" t="s">
        <v>39</v>
      </c>
      <c r="I33" s="34" t="s">
        <v>39</v>
      </c>
      <c r="J33" s="34" t="s">
        <v>39</v>
      </c>
      <c r="K33" s="34" t="s">
        <v>39</v>
      </c>
      <c r="L33" s="34" t="s">
        <v>39</v>
      </c>
      <c r="M33" s="34" t="s">
        <v>39</v>
      </c>
      <c r="N33" s="1"/>
    </row>
    <row r="34" spans="1:14" ht="15.5" x14ac:dyDescent="0.35">
      <c r="A34" t="s">
        <v>44</v>
      </c>
      <c r="B34" s="33" t="str">
        <f>IF(AND(Haittarahalaskuri!B21=A16,ISNUMBER(B20),ISNUMBER(B21),UPPER(Haittarahalaskuri!B12)="K",OR(AND(Haittarahalaskuri!B13&gt;10,Haittarahalaskuri!B14&gt;Haittarahalaskuri!B13,YEAR(Haittarahalaskuri!B8)&lt;2016),AND(Haittarahalaskuri!B13&gt;5,YEAR(Haittarahalaskuri!B8)&gt;=2016))),ROUND(HLOOKUP(B20,Pääomakertoimet!B4:AD5,2,FALSE)*VLOOKUP(Haittarahalaskuri!B14,HL_määrät!A6:B25,2,FALSE)/100,2),"-")</f>
        <v>-</v>
      </c>
      <c r="C34" s="34" t="str">
        <f>IF(ISNUMBER(B34),ROUND(VLOOKUP(MIN(B21,B25),Indeksit!A:B,2,FALSE)/VLOOKUP(B20,Indeksit!A:B,2,FALSE)*B34-B34,2),"-")</f>
        <v>-</v>
      </c>
      <c r="D34" s="34" t="str">
        <f>B34</f>
        <v>-</v>
      </c>
      <c r="E34" s="34" t="str">
        <f>IF(ISNUMBER(D34),ROUND(VLOOKUP(MIN(B21,B25),Indeksit!A:B,2,FALSE)/VLOOKUP(B20,Indeksit!A:B,2,FALSE)*D34-D34,2),"-")</f>
        <v>-</v>
      </c>
      <c r="F34" s="34" t="s">
        <v>39</v>
      </c>
      <c r="G34" s="34" t="s">
        <v>39</v>
      </c>
      <c r="H34" s="34" t="s">
        <v>39</v>
      </c>
      <c r="I34" s="34" t="s">
        <v>39</v>
      </c>
      <c r="J34" s="34" t="s">
        <v>39</v>
      </c>
      <c r="K34" s="34" t="s">
        <v>39</v>
      </c>
      <c r="L34" s="34" t="s">
        <v>39</v>
      </c>
      <c r="M34" s="34" t="s">
        <v>39</v>
      </c>
    </row>
    <row r="36" spans="1:14" x14ac:dyDescent="0.35">
      <c r="B36" s="16"/>
    </row>
    <row r="37" spans="1:14" x14ac:dyDescent="0.35">
      <c r="B37" s="1"/>
      <c r="C37" s="1"/>
    </row>
  </sheetData>
  <sheetProtection sheet="1" objects="1" scenarios="1"/>
  <pageMargins left="0.7" right="0.7" top="0.75" bottom="0.75"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2" id="{1EF8B0FA-9D20-41D6-A42C-BD874D3663F6}">
            <xm:f>UPPER(Haittarahalaskuri!B12)="K"</xm:f>
            <x14:dxf>
              <font>
                <color theme="1"/>
              </font>
              <fill>
                <patternFill>
                  <bgColor theme="7" tint="0.79998168889431442"/>
                </patternFill>
              </fill>
              <border>
                <left style="thin">
                  <color auto="1"/>
                </left>
                <right style="thin">
                  <color auto="1"/>
                </right>
                <top style="thin">
                  <color auto="1"/>
                </top>
                <bottom style="thin">
                  <color auto="1"/>
                </bottom>
                <vertical/>
                <horizontal/>
              </border>
            </x14:dxf>
          </x14:cfRule>
          <xm:sqref>B22</xm:sqref>
        </x14:conditionalFormatting>
        <x14:conditionalFormatting xmlns:xm="http://schemas.microsoft.com/office/excel/2006/main">
          <x14:cfRule type="expression" priority="1" id="{3368C7D9-D7F0-4AE9-9AA4-FD821EC7D319}">
            <xm:f>UPPER(Haittarahalaskuri!B12)="K"</xm:f>
            <x14:dxf>
              <font>
                <color theme="1"/>
              </font>
              <fill>
                <patternFill>
                  <bgColor theme="7" tint="0.79998168889431442"/>
                </patternFill>
              </fill>
              <border>
                <left style="thin">
                  <color auto="1"/>
                </left>
                <right style="thin">
                  <color auto="1"/>
                </right>
                <top style="thin">
                  <color auto="1"/>
                </top>
                <bottom style="thin">
                  <color auto="1"/>
                </bottom>
                <vertical/>
                <horizontal/>
              </border>
            </x14:dxf>
          </x14:cfRule>
          <xm:sqref>B24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6</vt:i4>
      </vt:variant>
    </vt:vector>
  </HeadingPairs>
  <TitlesOfParts>
    <vt:vector size="6" baseType="lpstr">
      <vt:lpstr>Ohjeet</vt:lpstr>
      <vt:lpstr>Haittarahalaskuri</vt:lpstr>
      <vt:lpstr>Pääomakertoimet</vt:lpstr>
      <vt:lpstr>HL_määrät</vt:lpstr>
      <vt:lpstr>Indeksit</vt:lpstr>
      <vt:lpstr>Selitetekstit &amp; laskenta-apu</vt:lpstr>
    </vt:vector>
  </TitlesOfParts>
  <Company>Vakes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Kytömäki Katri</dc:creator>
  <cp:lastModifiedBy>Kytömäki Katri</cp:lastModifiedBy>
  <dcterms:created xsi:type="dcterms:W3CDTF">2021-01-28T12:17:16Z</dcterms:created>
  <dcterms:modified xsi:type="dcterms:W3CDTF">2026-01-08T11:08:12Z</dcterms:modified>
</cp:coreProperties>
</file>